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5" activeTab="0"/>
  </bookViews>
  <sheets>
    <sheet name="Summe" sheetId="1" r:id="rId1"/>
  </sheets>
  <definedNames/>
  <calcPr fullCalcOnLoad="1"/>
</workbook>
</file>

<file path=xl/sharedStrings.xml><?xml version="1.0" encoding="utf-8"?>
<sst xmlns="http://schemas.openxmlformats.org/spreadsheetml/2006/main" count="97" uniqueCount="75">
  <si>
    <t>Görgesse a lapot lefelé tovább</t>
  </si>
  <si>
    <t>Gyártási lap, kérem ne töltse ki!</t>
  </si>
  <si>
    <t>Megrendelőlap egyedi méretű bambuszrolóhoz</t>
  </si>
  <si>
    <t xml:space="preserve"> </t>
  </si>
  <si>
    <t>Számlázási cím (Kitöltése nem kötelező):</t>
  </si>
  <si>
    <t>B=bal,             J=jobb</t>
  </si>
  <si>
    <t>mérte:</t>
  </si>
  <si>
    <t>vörös=Kérem kitölteni</t>
  </si>
  <si>
    <t>Név:</t>
  </si>
  <si>
    <t>Cégnév:</t>
  </si>
  <si>
    <t>vágta:</t>
  </si>
  <si>
    <t>Utca Házszám:</t>
  </si>
  <si>
    <t>Irányítószám:</t>
  </si>
  <si>
    <t>ragasztotta:</t>
  </si>
  <si>
    <t>Város:</t>
  </si>
  <si>
    <t>vasalta</t>
  </si>
  <si>
    <t>Magyarország</t>
  </si>
  <si>
    <t>H</t>
  </si>
  <si>
    <t>Telefonszám:</t>
  </si>
  <si>
    <t>Egyéb megjegyzés:</t>
  </si>
  <si>
    <t>ellenőrizte</t>
  </si>
  <si>
    <t>E-Mail:</t>
  </si>
  <si>
    <t>Anyagfajtát lejjebb tud választani külön táblázatban. Kérem egy megrendelőlapon csak egy fajta anyagból rendeljen rolót.</t>
  </si>
  <si>
    <t>Fényképezte</t>
  </si>
  <si>
    <t>Csomagolta</t>
  </si>
  <si>
    <t>Utánvét (U), Előre utalás bankba (E), 
Személyesen illetve második csomag (S)</t>
  </si>
  <si>
    <t>Össz bruttó ár postadíjjal együtt (Huf)</t>
  </si>
  <si>
    <t>Számlázási Cím</t>
  </si>
  <si>
    <t>Postai díj 1000-ft utánvétes postai díj 1550-ft</t>
  </si>
  <si>
    <t>Tételszám</t>
  </si>
  <si>
    <r>
      <t xml:space="preserve">Szélesség </t>
    </r>
    <r>
      <rPr>
        <sz val="10"/>
        <color indexed="10"/>
        <rFont val="Arial"/>
        <family val="2"/>
      </rPr>
      <t>(mm)</t>
    </r>
  </si>
  <si>
    <r>
      <t xml:space="preserve">Magasság </t>
    </r>
    <r>
      <rPr>
        <sz val="10"/>
        <color indexed="10"/>
        <rFont val="Arial"/>
        <family val="2"/>
      </rPr>
      <t>(mm)</t>
    </r>
  </si>
  <si>
    <t>Darabszám</t>
  </si>
  <si>
    <t>Ár</t>
  </si>
  <si>
    <t>Szélesség (cm)</t>
  </si>
  <si>
    <t>Magasság (cm)</t>
  </si>
  <si>
    <t>szabás hossz</t>
  </si>
  <si>
    <t>Zsinór-hossz</t>
  </si>
  <si>
    <t>Mechanika:</t>
  </si>
  <si>
    <t>Roló felhúzódás:</t>
  </si>
  <si>
    <t xml:space="preserve">Lényeges! Teljesen ingyenesen és kötelezettség nélkül küldünk Önnek 10*10cm-es mintát a kért színű bambusz roló termékekből. Kérjük használja ki ezt a lehetőséget. A bambusz egy természetes anyag, színeltérések lehetségesek az egyes szállítmányok között és a monitor sem biztos, hogy teljesmértékben élethűen adja vissza a színeket. A legbiztosabb, ha Ön kézben tartja az anyagot. Amennyiben nem kér mintát úgy a színárnyalat beli eltérésből adódó reklamációt nem tudunk elfogadni.
</t>
  </si>
  <si>
    <t>rejtett mechanikás rolók rögzítési módja</t>
  </si>
  <si>
    <t>Fába fúrt roló</t>
  </si>
  <si>
    <t>Téglába fúrt roló</t>
  </si>
  <si>
    <t>Mennyezetre szerelt roló</t>
  </si>
  <si>
    <t>Oldalfalra szerelt roló</t>
  </si>
  <si>
    <t>Rolók területe:</t>
  </si>
  <si>
    <t>Kültéri rolók</t>
  </si>
  <si>
    <t>Beltéri rolók</t>
  </si>
  <si>
    <t>Faolajozás ára:  2000Ft/m2/2 oldal</t>
  </si>
  <si>
    <t>Alapanyag minősége</t>
  </si>
  <si>
    <t>osztály:</t>
  </si>
  <si>
    <t>Termék fotója</t>
  </si>
  <si>
    <t>Fajta</t>
  </si>
  <si>
    <t>Maximális tekercs szélesség (mm)</t>
  </si>
  <si>
    <t xml:space="preserve"> BC-09</t>
  </si>
  <si>
    <t xml:space="preserve"> BC-16</t>
  </si>
  <si>
    <t xml:space="preserve"> BC-13</t>
  </si>
  <si>
    <t xml:space="preserve"> BC-12</t>
  </si>
  <si>
    <t xml:space="preserve"> C1C</t>
  </si>
  <si>
    <t>FIGYELEM! A C1C, szemben a többi anyaggal nem karbonizált, hanem festett, ezért a Nap felőli oldala 2-3 év alatt kifakul.</t>
  </si>
  <si>
    <t xml:space="preserve"> BC-30</t>
  </si>
  <si>
    <t xml:space="preserve"> A képen a LÁTHATÓ mechanikával szerelt rolót látja. Ez a klasszikus roló kizárólag jobb oldali mechanikával létezik. Ez esetben ha az ablakon kifelé nézünk akkor a felhúzó zsinór a jobb kezünk felöl fog lenni.</t>
  </si>
  <si>
    <t>Ez az utolsó rész</t>
  </si>
  <si>
    <t>A képen egy rejtett mechanikás, felgördülő roló látható. A REJTETT mechanika felhúzó zsinórja mindkét oldalon lehet. A REJTETT mechanikánál a roló méreténél 10-cm-el több anyagot használunk fel.</t>
  </si>
  <si>
    <r>
      <t>Ez egy REJTETT mechanikás raffroló (római roló). A felhúzó zsinór mindkét oldalon lehet. Ennél a tipusnál 600-ft szerelési plusz díjat számolunk fel darabonként.</t>
    </r>
    <r>
      <rPr>
        <sz val="11"/>
        <color indexed="10"/>
        <rFont val="Arial"/>
        <family val="2"/>
      </rPr>
      <t>FIGYELEM! Ebből a fajtából 2 négyzetméternél nagyobbat nem ajánlunk, mert a súlya miatt nehezen kezelhetővé válik.</t>
    </r>
  </si>
  <si>
    <t xml:space="preserve"> 1.oszt</t>
  </si>
  <si>
    <t xml:space="preserve"> 2.oszt</t>
  </si>
  <si>
    <r>
      <t xml:space="preserve">Ez alá a megfelelő sorba írja be, hogy Bal ( </t>
    </r>
    <r>
      <rPr>
        <b/>
        <sz val="13"/>
        <color indexed="10"/>
        <rFont val="Arial"/>
        <family val="2"/>
      </rPr>
      <t>B</t>
    </r>
    <r>
      <rPr>
        <b/>
        <sz val="13"/>
        <rFont val="Arial"/>
        <family val="2"/>
      </rPr>
      <t>) vagy Jobb (</t>
    </r>
    <r>
      <rPr>
        <b/>
        <sz val="13"/>
        <color indexed="10"/>
        <rFont val="Arial"/>
        <family val="2"/>
      </rPr>
      <t>J</t>
    </r>
    <r>
      <rPr>
        <b/>
        <sz val="13"/>
        <rFont val="Arial"/>
        <family val="2"/>
      </rPr>
      <t xml:space="preserve">) oldalon legyen a felhúzó zsinór. </t>
    </r>
  </si>
  <si>
    <t>Fizetés módja. Kérem a G16-os piros mezőben a LEGÖRDÜLŐ LISTÁBÓL válassza ki a kívánt módot. Nem beírni, kiválasztani!</t>
  </si>
  <si>
    <t>Klasszikus 1g tipusú mechanika. Csak jobb oldalon leetséges a felhúzózsinór!</t>
  </si>
  <si>
    <t>Helyes szabáshossz 2013</t>
  </si>
  <si>
    <t>A jobb oldalon látható sötét fonatos BC-30-as verzió csak 120-cm szélességig érhető el. Ha ilyet szeretne kérjük azt a megjegyzés rovatban külön jelezze.</t>
  </si>
  <si>
    <t>2014-</t>
  </si>
  <si>
    <t>Kérem töltse ki értelemszerűen a táblázatokat. Figyelem, több táblázat található egymás alatt ( rolóméretek, alapanyag fajták, mechanika fajták). Ha az ár megfelel Önnek akkor csatolt mellékletként az info@naturtrend.com címre küldve megrendelőként szolgál. Ha több különböző anyagú rolót rendel akkor csak az első táblázatban válasszon a fizetési módok közül, a többin válassza a személyes átvételt (mivel együtt küldjük, ezért ezeknél nincs külön szállítási költség).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</si>
</sst>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[$Ft-40E];\-#,##0\ [$Ft-40E]"/>
    <numFmt numFmtId="173" formatCode="#,##0&quot; Ft&quot;"/>
    <numFmt numFmtId="174" formatCode="#\ ##0.00\ [$m2];\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8"/>
      <color indexed="10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3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3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u val="single"/>
      <sz val="10"/>
      <name val="Arial"/>
      <family val="2"/>
    </font>
    <font>
      <sz val="11"/>
      <color indexed="10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4" fillId="11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0" fillId="4" borderId="6" applyNumberFormat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5" fillId="0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Alignment="0" applyProtection="0"/>
    <xf numFmtId="0" fontId="0" fillId="0" borderId="10" applyNumberFormat="0" applyFill="0" applyAlignment="0" applyProtection="0"/>
    <xf numFmtId="0" fontId="0" fillId="0" borderId="11" applyNumberFormat="0" applyFill="0" applyAlignment="0" applyProtection="0"/>
    <xf numFmtId="0" fontId="16" fillId="3" borderId="12" applyNumberFormat="0" applyAlignment="0" applyProtection="0"/>
    <xf numFmtId="0" fontId="18" fillId="2" borderId="12" applyNumberFormat="0" applyAlignment="0" applyProtection="0"/>
    <xf numFmtId="0" fontId="19" fillId="2" borderId="13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22" fillId="0" borderId="14" xfId="0" applyFont="1" applyBorder="1" applyAlignment="1" applyProtection="1">
      <alignment horizontal="center" vertical="center" textRotation="180" wrapText="1"/>
      <protection hidden="1"/>
    </xf>
    <xf numFmtId="0" fontId="25" fillId="0" borderId="14" xfId="0" applyFont="1" applyBorder="1" applyAlignment="1" applyProtection="1">
      <alignment wrapText="1"/>
      <protection hidden="1"/>
    </xf>
    <xf numFmtId="0" fontId="0" fillId="0" borderId="14" xfId="0" applyBorder="1" applyAlignment="1" applyProtection="1">
      <alignment/>
      <protection hidden="1"/>
    </xf>
    <xf numFmtId="0" fontId="22" fillId="0" borderId="15" xfId="0" applyFont="1" applyBorder="1" applyAlignment="1" applyProtection="1">
      <alignment horizontal="center" vertical="center" textRotation="180" wrapText="1"/>
      <protection hidden="1"/>
    </xf>
    <xf numFmtId="0" fontId="25" fillId="0" borderId="16" xfId="0" applyFont="1" applyBorder="1" applyAlignment="1" applyProtection="1">
      <alignment wrapText="1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22" fillId="0" borderId="19" xfId="0" applyFont="1" applyBorder="1" applyAlignment="1" applyProtection="1">
      <alignment horizontal="center" vertical="center" textRotation="180" wrapText="1"/>
      <protection hidden="1"/>
    </xf>
    <xf numFmtId="0" fontId="0" fillId="0" borderId="20" xfId="0" applyBorder="1" applyAlignment="1" applyProtection="1">
      <alignment wrapText="1"/>
      <protection hidden="1"/>
    </xf>
    <xf numFmtId="0" fontId="25" fillId="0" borderId="16" xfId="0" applyFont="1" applyBorder="1" applyAlignment="1" applyProtection="1">
      <alignment/>
      <protection hidden="1"/>
    </xf>
    <xf numFmtId="0" fontId="25" fillId="0" borderId="15" xfId="0" applyFont="1" applyBorder="1" applyAlignment="1" applyProtection="1">
      <alignment wrapText="1"/>
      <protection hidden="1"/>
    </xf>
    <xf numFmtId="0" fontId="0" fillId="0" borderId="15" xfId="0" applyBorder="1" applyAlignment="1" applyProtection="1">
      <alignment/>
      <protection hidden="1"/>
    </xf>
    <xf numFmtId="0" fontId="25" fillId="0" borderId="15" xfId="0" applyFont="1" applyFill="1" applyBorder="1" applyAlignment="1" applyProtection="1">
      <alignment wrapText="1"/>
      <protection hidden="1"/>
    </xf>
    <xf numFmtId="0" fontId="25" fillId="0" borderId="14" xfId="0" applyFont="1" applyFill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/>
      <protection hidden="1"/>
    </xf>
    <xf numFmtId="0" fontId="25" fillId="0" borderId="16" xfId="0" applyFont="1" applyFill="1" applyBorder="1" applyAlignment="1" applyProtection="1">
      <alignment wrapText="1"/>
      <protection hidden="1"/>
    </xf>
    <xf numFmtId="0" fontId="25" fillId="0" borderId="22" xfId="0" applyFont="1" applyFill="1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/>
      <protection hidden="1"/>
    </xf>
    <xf numFmtId="0" fontId="29" fillId="0" borderId="21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textRotation="180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wrapText="1"/>
      <protection hidden="1"/>
    </xf>
    <xf numFmtId="0" fontId="0" fillId="0" borderId="21" xfId="0" applyFont="1" applyBorder="1" applyAlignment="1" applyProtection="1">
      <alignment wrapText="1"/>
      <protection hidden="1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 wrapText="1"/>
      <protection hidden="1"/>
    </xf>
    <xf numFmtId="0" fontId="0" fillId="0" borderId="25" xfId="0" applyFont="1" applyBorder="1" applyAlignment="1" applyProtection="1">
      <alignment horizontal="center" vertical="center" wrapText="1"/>
      <protection hidden="1"/>
    </xf>
    <xf numFmtId="0" fontId="0" fillId="0" borderId="24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3" fontId="0" fillId="0" borderId="25" xfId="0" applyNumberFormat="1" applyBorder="1" applyAlignment="1" applyProtection="1">
      <alignment/>
      <protection hidden="1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textRotation="180" wrapText="1"/>
      <protection hidden="1"/>
    </xf>
    <xf numFmtId="0" fontId="21" fillId="0" borderId="25" xfId="0" applyFont="1" applyFill="1" applyBorder="1" applyAlignment="1" applyProtection="1">
      <alignment horizontal="center" vertical="center" textRotation="180" wrapText="1"/>
      <protection hidden="1"/>
    </xf>
    <xf numFmtId="3" fontId="37" fillId="0" borderId="31" xfId="0" applyNumberFormat="1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 vertical="center"/>
      <protection hidden="1"/>
    </xf>
    <xf numFmtId="0" fontId="34" fillId="0" borderId="32" xfId="0" applyFont="1" applyBorder="1" applyAlignment="1" applyProtection="1">
      <alignment horizontal="center" vertical="center"/>
      <protection locked="0"/>
    </xf>
    <xf numFmtId="0" fontId="34" fillId="0" borderId="33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0" fontId="40" fillId="0" borderId="22" xfId="0" applyFont="1" applyBorder="1" applyAlignment="1" applyProtection="1">
      <alignment horizontal="center" vertical="center" wrapText="1"/>
      <protection hidden="1"/>
    </xf>
    <xf numFmtId="0" fontId="34" fillId="0" borderId="34" xfId="0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distributed" wrapText="1"/>
      <protection hidden="1"/>
    </xf>
    <xf numFmtId="0" fontId="0" fillId="0" borderId="0" xfId="0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shrinkToFit="1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/>
      <protection locked="0"/>
    </xf>
    <xf numFmtId="0" fontId="44" fillId="0" borderId="21" xfId="0" applyFont="1" applyBorder="1" applyAlignment="1" applyProtection="1">
      <alignment horizontal="center" vertical="center"/>
      <protection hidden="1"/>
    </xf>
    <xf numFmtId="0" fontId="0" fillId="19" borderId="0" xfId="0" applyFill="1" applyBorder="1" applyAlignment="1" applyProtection="1">
      <alignment horizontal="center" vertical="center" textRotation="180" wrapText="1"/>
      <protection hidden="1"/>
    </xf>
    <xf numFmtId="0" fontId="29" fillId="0" borderId="19" xfId="0" applyFont="1" applyBorder="1" applyAlignment="1" applyProtection="1">
      <alignment horizontal="center" vertical="center" wrapText="1"/>
      <protection hidden="1"/>
    </xf>
    <xf numFmtId="0" fontId="20" fillId="0" borderId="0" xfId="0" applyFont="1" applyBorder="1" applyAlignment="1" applyProtection="1">
      <alignment horizontal="center" vertical="center" textRotation="180"/>
      <protection hidden="1"/>
    </xf>
    <xf numFmtId="0" fontId="45" fillId="0" borderId="19" xfId="0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>
      <alignment wrapText="1"/>
    </xf>
    <xf numFmtId="0" fontId="40" fillId="0" borderId="22" xfId="0" applyFont="1" applyBorder="1" applyAlignment="1" applyProtection="1">
      <alignment horizontal="center" vertical="center" wrapText="1"/>
      <protection hidden="1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hidden="1"/>
    </xf>
    <xf numFmtId="0" fontId="24" fillId="0" borderId="36" xfId="0" applyFont="1" applyBorder="1" applyAlignment="1" applyProtection="1">
      <alignment horizontal="center" vertical="center" wrapText="1"/>
      <protection hidden="1"/>
    </xf>
    <xf numFmtId="0" fontId="40" fillId="0" borderId="19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35" fillId="0" borderId="38" xfId="0" applyFont="1" applyBorder="1" applyAlignment="1" applyProtection="1">
      <alignment horizontal="center" vertical="center" wrapText="1"/>
      <protection hidden="1"/>
    </xf>
    <xf numFmtId="0" fontId="0" fillId="0" borderId="39" xfId="0" applyBorder="1" applyAlignment="1" applyProtection="1">
      <alignment/>
      <protection hidden="1"/>
    </xf>
    <xf numFmtId="0" fontId="38" fillId="0" borderId="14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 wrapText="1"/>
      <protection hidden="1"/>
    </xf>
    <xf numFmtId="0" fontId="38" fillId="0" borderId="22" xfId="0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24" fillId="0" borderId="24" xfId="0" applyFont="1" applyBorder="1" applyAlignment="1" applyProtection="1">
      <alignment horizontal="center" vertical="center" wrapText="1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 wrapText="1"/>
      <protection hidden="1"/>
    </xf>
    <xf numFmtId="0" fontId="21" fillId="0" borderId="22" xfId="0" applyFont="1" applyFill="1" applyBorder="1" applyAlignment="1" applyProtection="1">
      <alignment horizontal="center" vertical="center" wrapText="1"/>
      <protection hidden="1"/>
    </xf>
    <xf numFmtId="0" fontId="29" fillId="0" borderId="41" xfId="0" applyFont="1" applyBorder="1" applyAlignment="1" applyProtection="1">
      <alignment horizontal="center" vertical="center"/>
      <protection hidden="1"/>
    </xf>
    <xf numFmtId="0" fontId="29" fillId="0" borderId="42" xfId="0" applyFont="1" applyBorder="1" applyAlignment="1" applyProtection="1">
      <alignment horizontal="center" vertical="center"/>
      <protection hidden="1"/>
    </xf>
    <xf numFmtId="174" fontId="31" fillId="0" borderId="27" xfId="0" applyNumberFormat="1" applyFont="1" applyBorder="1" applyAlignment="1" applyProtection="1">
      <alignment horizontal="center" vertical="center"/>
      <protection hidden="1"/>
    </xf>
    <xf numFmtId="0" fontId="36" fillId="0" borderId="43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 locked="0"/>
    </xf>
    <xf numFmtId="0" fontId="36" fillId="0" borderId="45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left" vertical="center" wrapText="1"/>
      <protection hidden="1"/>
    </xf>
    <xf numFmtId="0" fontId="0" fillId="0" borderId="46" xfId="0" applyFont="1" applyBorder="1" applyAlignment="1" applyProtection="1">
      <alignment/>
      <protection hidden="1"/>
    </xf>
    <xf numFmtId="0" fontId="29" fillId="0" borderId="35" xfId="0" applyFont="1" applyBorder="1" applyAlignment="1" applyProtection="1">
      <alignment horizontal="center" vertical="center" wrapText="1"/>
      <protection hidden="1"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29" fillId="0" borderId="35" xfId="0" applyFont="1" applyBorder="1" applyAlignment="1" applyProtection="1">
      <alignment horizontal="center" vertical="center"/>
      <protection hidden="1"/>
    </xf>
    <xf numFmtId="0" fontId="34" fillId="0" borderId="22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/>
      <protection hidden="1"/>
    </xf>
    <xf numFmtId="0" fontId="26" fillId="0" borderId="22" xfId="0" applyFont="1" applyBorder="1" applyAlignment="1" applyProtection="1">
      <alignment horizontal="center" vertical="center" wrapText="1"/>
      <protection hidden="1"/>
    </xf>
    <xf numFmtId="0" fontId="35" fillId="0" borderId="22" xfId="0" applyFont="1" applyBorder="1" applyAlignment="1" applyProtection="1">
      <alignment wrapText="1"/>
      <protection hidden="1"/>
    </xf>
    <xf numFmtId="0" fontId="0" fillId="0" borderId="22" xfId="0" applyFont="1" applyBorder="1" applyAlignment="1" applyProtection="1">
      <alignment wrapText="1"/>
      <protection hidden="1"/>
    </xf>
    <xf numFmtId="0" fontId="24" fillId="0" borderId="22" xfId="0" applyFont="1" applyBorder="1" applyAlignment="1" applyProtection="1">
      <alignment wrapText="1"/>
      <protection hidden="1"/>
    </xf>
    <xf numFmtId="0" fontId="0" fillId="0" borderId="37" xfId="0" applyFont="1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33" fillId="0" borderId="22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 textRotation="180" wrapText="1"/>
      <protection hidden="1"/>
    </xf>
    <xf numFmtId="0" fontId="0" fillId="0" borderId="47" xfId="0" applyFont="1" applyBorder="1" applyAlignment="1" applyProtection="1">
      <alignment horizontal="center"/>
      <protection hidden="1"/>
    </xf>
    <xf numFmtId="0" fontId="0" fillId="0" borderId="30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 wrapText="1"/>
      <protection hidden="1"/>
    </xf>
    <xf numFmtId="0" fontId="0" fillId="0" borderId="23" xfId="0" applyBorder="1" applyAlignment="1" applyProtection="1">
      <alignment/>
      <protection hidden="1"/>
    </xf>
    <xf numFmtId="0" fontId="25" fillId="0" borderId="22" xfId="0" applyFont="1" applyBorder="1" applyAlignment="1" applyProtection="1">
      <alignment vertical="top" wrapText="1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Border="1" applyAlignment="1" applyProtection="1">
      <alignment horizontal="left" wrapText="1"/>
      <protection hidden="1"/>
    </xf>
    <xf numFmtId="0" fontId="0" fillId="0" borderId="22" xfId="0" applyBorder="1" applyAlignment="1" applyProtection="1">
      <alignment vertical="top" wrapText="1"/>
      <protection hidden="1"/>
    </xf>
    <xf numFmtId="0" fontId="30" fillId="0" borderId="48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left" wrapText="1"/>
      <protection hidden="1"/>
    </xf>
    <xf numFmtId="172" fontId="22" fillId="0" borderId="21" xfId="0" applyNumberFormat="1" applyFont="1" applyBorder="1" applyAlignment="1" applyProtection="1">
      <alignment horizontal="center"/>
      <protection hidden="1"/>
    </xf>
    <xf numFmtId="0" fontId="0" fillId="0" borderId="26" xfId="0" applyBorder="1" applyAlignment="1" applyProtection="1">
      <alignment wrapText="1"/>
      <protection hidden="1"/>
    </xf>
    <xf numFmtId="0" fontId="0" fillId="0" borderId="26" xfId="0" applyFont="1" applyBorder="1" applyAlignment="1" applyProtection="1">
      <alignment wrapText="1"/>
      <protection hidden="1"/>
    </xf>
    <xf numFmtId="0" fontId="27" fillId="0" borderId="49" xfId="0" applyFont="1" applyBorder="1" applyAlignment="1" applyProtection="1">
      <alignment horizontal="center" vertical="center"/>
      <protection hidden="1"/>
    </xf>
    <xf numFmtId="0" fontId="28" fillId="0" borderId="18" xfId="0" applyFont="1" applyBorder="1" applyAlignment="1" applyProtection="1">
      <alignment wrapText="1"/>
      <protection hidden="1"/>
    </xf>
    <xf numFmtId="0" fontId="0" fillId="0" borderId="21" xfId="0" applyFill="1" applyBorder="1" applyAlignment="1" applyProtection="1">
      <alignment/>
      <protection hidden="1"/>
    </xf>
    <xf numFmtId="0" fontId="26" fillId="0" borderId="48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1" xfId="0" applyFill="1" applyBorder="1" applyAlignment="1" applyProtection="1">
      <alignment/>
      <protection locked="0"/>
    </xf>
    <xf numFmtId="0" fontId="0" fillId="0" borderId="23" xfId="0" applyBorder="1" applyAlignment="1" applyProtection="1">
      <alignment vertical="top" wrapText="1"/>
      <protection locked="0"/>
    </xf>
    <xf numFmtId="173" fontId="31" fillId="0" borderId="21" xfId="0" applyNumberFormat="1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/>
      <protection hidden="1"/>
    </xf>
    <xf numFmtId="49" fontId="0" fillId="0" borderId="24" xfId="0" applyNumberFormat="1" applyBorder="1" applyAlignment="1" applyProtection="1">
      <alignment/>
      <protection hidden="1"/>
    </xf>
    <xf numFmtId="0" fontId="0" fillId="0" borderId="32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 textRotation="180"/>
      <protection hidden="1"/>
    </xf>
    <xf numFmtId="0" fontId="0" fillId="0" borderId="0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22" fillId="0" borderId="14" xfId="0" applyFont="1" applyBorder="1" applyAlignment="1" applyProtection="1">
      <alignment horizontal="right" vertical="center" textRotation="180" wrapText="1"/>
      <protection hidden="1"/>
    </xf>
    <xf numFmtId="0" fontId="24" fillId="0" borderId="30" xfId="0" applyFont="1" applyBorder="1" applyAlignment="1" applyProtection="1">
      <alignment horizontal="left" vertical="center"/>
      <protection hidden="1"/>
    </xf>
    <xf numFmtId="49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Comma" xfId="35"/>
    <cellStyle name="Comma [0]" xfId="36"/>
    <cellStyle name="Kontrolní buňka" xfId="37"/>
    <cellStyle name="Nadpis 1" xfId="38"/>
    <cellStyle name="Nadpis 2" xfId="39"/>
    <cellStyle name="Nadpis 3" xfId="40"/>
    <cellStyle name="Nadpis 4" xfId="41"/>
    <cellStyle name="Název" xfId="42"/>
    <cellStyle name="Neutrální" xfId="43"/>
    <cellStyle name="Currency" xfId="44"/>
    <cellStyle name="Currency [0]" xfId="45"/>
    <cellStyle name="Poznámka" xfId="46"/>
    <cellStyle name="Propojená buňka" xfId="47"/>
    <cellStyle name="Správně" xfId="48"/>
    <cellStyle name="Percent" xfId="49"/>
    <cellStyle name="Text upozornění" xfId="50"/>
    <cellStyle name="Untitled1" xfId="51"/>
    <cellStyle name="Untitled2" xfId="52"/>
    <cellStyle name="Untitled3" xfId="53"/>
    <cellStyle name="Untitled4" xfId="54"/>
    <cellStyle name="Untitled5" xfId="55"/>
    <cellStyle name="Untitled6" xfId="56"/>
    <cellStyle name="Untitled7" xfId="57"/>
    <cellStyle name="Untitled8" xfId="58"/>
    <cellStyle name="Untitled9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20">
    <dxf>
      <font>
        <b/>
        <i/>
      </font>
      <fill>
        <patternFill patternType="solid">
          <fgColor indexed="26"/>
          <bgColor indexed="43"/>
        </patternFill>
      </fill>
    </dxf>
    <dxf>
      <font>
        <b val="0"/>
        <color indexed="9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5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26"/>
          <bgColor indexed="4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15</xdr:row>
      <xdr:rowOff>142875</xdr:rowOff>
    </xdr:from>
    <xdr:to>
      <xdr:col>0</xdr:col>
      <xdr:colOff>161925</xdr:colOff>
      <xdr:row>22</xdr:row>
      <xdr:rowOff>47625</xdr:rowOff>
    </xdr:to>
    <xdr:sp>
      <xdr:nvSpPr>
        <xdr:cNvPr id="1" name="Line 7"/>
        <xdr:cNvSpPr>
          <a:spLocks/>
        </xdr:cNvSpPr>
      </xdr:nvSpPr>
      <xdr:spPr>
        <a:xfrm flipH="1">
          <a:off x="152400" y="4067175"/>
          <a:ext cx="9525" cy="1476375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38100</xdr:rowOff>
    </xdr:from>
    <xdr:to>
      <xdr:col>3</xdr:col>
      <xdr:colOff>742950</xdr:colOff>
      <xdr:row>54</xdr:row>
      <xdr:rowOff>2190750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3125450"/>
          <a:ext cx="1581150" cy="2152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95250</xdr:rowOff>
    </xdr:from>
    <xdr:to>
      <xdr:col>3</xdr:col>
      <xdr:colOff>742950</xdr:colOff>
      <xdr:row>55</xdr:row>
      <xdr:rowOff>2219325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" y="15430500"/>
          <a:ext cx="1571625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57</xdr:row>
      <xdr:rowOff>57150</xdr:rowOff>
    </xdr:from>
    <xdr:to>
      <xdr:col>3</xdr:col>
      <xdr:colOff>742950</xdr:colOff>
      <xdr:row>57</xdr:row>
      <xdr:rowOff>2219325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17687925"/>
          <a:ext cx="1581150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58</xdr:row>
      <xdr:rowOff>57150</xdr:rowOff>
    </xdr:from>
    <xdr:to>
      <xdr:col>3</xdr:col>
      <xdr:colOff>733425</xdr:colOff>
      <xdr:row>58</xdr:row>
      <xdr:rowOff>2181225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5825" y="19992975"/>
          <a:ext cx="158115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59</xdr:row>
      <xdr:rowOff>76200</xdr:rowOff>
    </xdr:from>
    <xdr:to>
      <xdr:col>3</xdr:col>
      <xdr:colOff>723900</xdr:colOff>
      <xdr:row>59</xdr:row>
      <xdr:rowOff>2133600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3925" y="22298025"/>
          <a:ext cx="1533525" cy="2057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61</xdr:row>
      <xdr:rowOff>85725</xdr:rowOff>
    </xdr:from>
    <xdr:to>
      <xdr:col>3</xdr:col>
      <xdr:colOff>762000</xdr:colOff>
      <xdr:row>61</xdr:row>
      <xdr:rowOff>2209800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14400" y="24612600"/>
          <a:ext cx="1581150" cy="2124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64</xdr:row>
      <xdr:rowOff>95250</xdr:rowOff>
    </xdr:from>
    <xdr:to>
      <xdr:col>4</xdr:col>
      <xdr:colOff>657225</xdr:colOff>
      <xdr:row>64</xdr:row>
      <xdr:rowOff>1800225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4400" y="27660600"/>
          <a:ext cx="224790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590550</xdr:colOff>
      <xdr:row>65</xdr:row>
      <xdr:rowOff>57150</xdr:rowOff>
    </xdr:from>
    <xdr:to>
      <xdr:col>4</xdr:col>
      <xdr:colOff>85725</xdr:colOff>
      <xdr:row>65</xdr:row>
      <xdr:rowOff>2162175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57325" y="29432250"/>
          <a:ext cx="1133475" cy="2105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457200</xdr:colOff>
      <xdr:row>66</xdr:row>
      <xdr:rowOff>85725</xdr:rowOff>
    </xdr:from>
    <xdr:to>
      <xdr:col>4</xdr:col>
      <xdr:colOff>200025</xdr:colOff>
      <xdr:row>67</xdr:row>
      <xdr:rowOff>9525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3975" y="31623000"/>
          <a:ext cx="1381125" cy="2181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581025</xdr:colOff>
      <xdr:row>36</xdr:row>
      <xdr:rowOff>85725</xdr:rowOff>
    </xdr:from>
    <xdr:to>
      <xdr:col>12</xdr:col>
      <xdr:colOff>581025</xdr:colOff>
      <xdr:row>42</xdr:row>
      <xdr:rowOff>104775</xdr:rowOff>
    </xdr:to>
    <xdr:sp>
      <xdr:nvSpPr>
        <xdr:cNvPr id="11" name="Line 19"/>
        <xdr:cNvSpPr>
          <a:spLocks/>
        </xdr:cNvSpPr>
      </xdr:nvSpPr>
      <xdr:spPr>
        <a:xfrm>
          <a:off x="8410575" y="8401050"/>
          <a:ext cx="0" cy="1085850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54</xdr:row>
      <xdr:rowOff>504825</xdr:rowOff>
    </xdr:from>
    <xdr:to>
      <xdr:col>0</xdr:col>
      <xdr:colOff>180975</xdr:colOff>
      <xdr:row>54</xdr:row>
      <xdr:rowOff>1581150</xdr:rowOff>
    </xdr:to>
    <xdr:sp>
      <xdr:nvSpPr>
        <xdr:cNvPr id="12" name="Line 20"/>
        <xdr:cNvSpPr>
          <a:spLocks/>
        </xdr:cNvSpPr>
      </xdr:nvSpPr>
      <xdr:spPr>
        <a:xfrm flipH="1">
          <a:off x="171450" y="13592175"/>
          <a:ext cx="9525" cy="1076325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55</xdr:row>
      <xdr:rowOff>1171575</xdr:rowOff>
    </xdr:from>
    <xdr:to>
      <xdr:col>0</xdr:col>
      <xdr:colOff>190500</xdr:colOff>
      <xdr:row>55</xdr:row>
      <xdr:rowOff>1685925</xdr:rowOff>
    </xdr:to>
    <xdr:sp>
      <xdr:nvSpPr>
        <xdr:cNvPr id="13" name="Line 21"/>
        <xdr:cNvSpPr>
          <a:spLocks/>
        </xdr:cNvSpPr>
      </xdr:nvSpPr>
      <xdr:spPr>
        <a:xfrm flipH="1">
          <a:off x="180975" y="16506825"/>
          <a:ext cx="9525" cy="514350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58</xdr:row>
      <xdr:rowOff>647700</xdr:rowOff>
    </xdr:from>
    <xdr:to>
      <xdr:col>0</xdr:col>
      <xdr:colOff>200025</xdr:colOff>
      <xdr:row>58</xdr:row>
      <xdr:rowOff>1714500</xdr:rowOff>
    </xdr:to>
    <xdr:sp>
      <xdr:nvSpPr>
        <xdr:cNvPr id="14" name="Line 22"/>
        <xdr:cNvSpPr>
          <a:spLocks/>
        </xdr:cNvSpPr>
      </xdr:nvSpPr>
      <xdr:spPr>
        <a:xfrm flipH="1">
          <a:off x="190500" y="20583525"/>
          <a:ext cx="9525" cy="1076325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59</xdr:row>
      <xdr:rowOff>1181100</xdr:rowOff>
    </xdr:from>
    <xdr:to>
      <xdr:col>0</xdr:col>
      <xdr:colOff>180975</xdr:colOff>
      <xdr:row>59</xdr:row>
      <xdr:rowOff>1714500</xdr:rowOff>
    </xdr:to>
    <xdr:sp>
      <xdr:nvSpPr>
        <xdr:cNvPr id="15" name="Line 23"/>
        <xdr:cNvSpPr>
          <a:spLocks/>
        </xdr:cNvSpPr>
      </xdr:nvSpPr>
      <xdr:spPr>
        <a:xfrm flipH="1">
          <a:off x="171450" y="23402925"/>
          <a:ext cx="9525" cy="533400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64</xdr:row>
      <xdr:rowOff>47625</xdr:rowOff>
    </xdr:from>
    <xdr:to>
      <xdr:col>0</xdr:col>
      <xdr:colOff>180975</xdr:colOff>
      <xdr:row>64</xdr:row>
      <xdr:rowOff>1114425</xdr:rowOff>
    </xdr:to>
    <xdr:sp>
      <xdr:nvSpPr>
        <xdr:cNvPr id="16" name="Line 24"/>
        <xdr:cNvSpPr>
          <a:spLocks/>
        </xdr:cNvSpPr>
      </xdr:nvSpPr>
      <xdr:spPr>
        <a:xfrm flipH="1">
          <a:off x="171450" y="27612975"/>
          <a:ext cx="9525" cy="1066800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52</xdr:row>
      <xdr:rowOff>123825</xdr:rowOff>
    </xdr:from>
    <xdr:to>
      <xdr:col>11</xdr:col>
      <xdr:colOff>266700</xdr:colOff>
      <xdr:row>53</xdr:row>
      <xdr:rowOff>971550</xdr:rowOff>
    </xdr:to>
    <xdr:sp>
      <xdr:nvSpPr>
        <xdr:cNvPr id="17" name="Line 19"/>
        <xdr:cNvSpPr>
          <a:spLocks/>
        </xdr:cNvSpPr>
      </xdr:nvSpPr>
      <xdr:spPr>
        <a:xfrm flipH="1">
          <a:off x="6172200" y="11525250"/>
          <a:ext cx="1323975" cy="1009650"/>
        </a:xfrm>
        <a:prstGeom prst="line">
          <a:avLst/>
        </a:prstGeom>
        <a:noFill/>
        <a:ln w="7632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85725</xdr:colOff>
      <xdr:row>61</xdr:row>
      <xdr:rowOff>152400</xdr:rowOff>
    </xdr:from>
    <xdr:to>
      <xdr:col>14</xdr:col>
      <xdr:colOff>419100</xdr:colOff>
      <xdr:row>61</xdr:row>
      <xdr:rowOff>2152650</xdr:rowOff>
    </xdr:to>
    <xdr:pic>
      <xdr:nvPicPr>
        <xdr:cNvPr id="18" name="Picture 3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15275" y="24679275"/>
          <a:ext cx="153352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1"/>
  <sheetViews>
    <sheetView tabSelected="1" zoomScalePageLayoutView="0" workbookViewId="0" topLeftCell="A1">
      <selection activeCell="D5" sqref="D5:G5"/>
    </sheetView>
  </sheetViews>
  <sheetFormatPr defaultColWidth="9.00390625" defaultRowHeight="12.75"/>
  <cols>
    <col min="1" max="1" width="5.421875" style="1" customWidth="1"/>
    <col min="2" max="2" width="7.57421875" style="1" customWidth="1"/>
    <col min="3" max="3" width="13.00390625" style="1" customWidth="1"/>
    <col min="4" max="4" width="11.57421875" style="1" customWidth="1"/>
    <col min="5" max="5" width="10.00390625" style="1" customWidth="1"/>
    <col min="6" max="6" width="10.421875" style="1" customWidth="1"/>
    <col min="7" max="7" width="9.7109375" style="1" customWidth="1"/>
    <col min="8" max="9" width="9.00390625" style="1" customWidth="1"/>
    <col min="10" max="10" width="10.7109375" style="1" customWidth="1"/>
    <col min="11" max="11" width="12.00390625" style="1" customWidth="1"/>
    <col min="12" max="15" width="9.00390625" style="1" customWidth="1"/>
    <col min="16" max="16" width="24.421875" style="1" customWidth="1"/>
    <col min="17" max="17" width="27.7109375" style="1" customWidth="1"/>
    <col min="18" max="32" width="9.00390625" style="1" customWidth="1"/>
    <col min="33" max="33" width="10.421875" style="1" customWidth="1"/>
    <col min="34" max="34" width="9.7109375" style="1" customWidth="1"/>
    <col min="35" max="35" width="9.8515625" style="1" customWidth="1"/>
    <col min="36" max="36" width="10.28125" style="1" customWidth="1"/>
    <col min="37" max="37" width="9.00390625" style="1" customWidth="1"/>
    <col min="38" max="38" width="8.7109375" style="1" customWidth="1"/>
    <col min="39" max="39" width="7.421875" style="1" customWidth="1"/>
    <col min="40" max="40" width="13.7109375" style="1" customWidth="1"/>
    <col min="41" max="41" width="12.28125" style="1" customWidth="1"/>
    <col min="42" max="16384" width="9.00390625" style="1" customWidth="1"/>
  </cols>
  <sheetData>
    <row r="1" spans="1:47" ht="81" customHeight="1">
      <c r="A1" s="141" t="s">
        <v>0</v>
      </c>
      <c r="B1" s="67" t="s">
        <v>73</v>
      </c>
      <c r="C1" s="142" t="s">
        <v>74</v>
      </c>
      <c r="D1" s="143"/>
      <c r="E1" s="143"/>
      <c r="F1" s="143"/>
      <c r="G1" s="143"/>
      <c r="H1" s="143"/>
      <c r="I1" s="143"/>
      <c r="AG1" s="147" t="s">
        <v>1</v>
      </c>
      <c r="AH1" s="147"/>
      <c r="AI1" s="147"/>
      <c r="AJ1" s="147"/>
      <c r="AK1" s="147"/>
      <c r="AL1" s="3"/>
      <c r="AM1" s="3"/>
      <c r="AT1" s="1">
        <v>4950</v>
      </c>
      <c r="AU1" s="1">
        <v>800</v>
      </c>
    </row>
    <row r="2" ht="13.5" thickBot="1">
      <c r="A2" s="141"/>
    </row>
    <row r="3" spans="1:41" ht="14.25" customHeight="1">
      <c r="A3" s="141"/>
      <c r="C3" s="148" t="s">
        <v>2</v>
      </c>
      <c r="D3" s="148"/>
      <c r="E3" s="148"/>
      <c r="F3" s="148"/>
      <c r="G3" s="148"/>
      <c r="H3" s="149" t="s">
        <v>68</v>
      </c>
      <c r="I3" s="1" t="s">
        <v>3</v>
      </c>
      <c r="J3" s="150" t="s">
        <v>4</v>
      </c>
      <c r="K3" s="150"/>
      <c r="L3" s="150"/>
      <c r="M3" s="150"/>
      <c r="N3" s="150"/>
      <c r="O3" s="150"/>
      <c r="P3" s="150"/>
      <c r="AG3" s="148"/>
      <c r="AH3" s="148"/>
      <c r="AI3" s="148"/>
      <c r="AJ3" s="148"/>
      <c r="AK3" s="148"/>
      <c r="AL3" s="114" t="s">
        <v>5</v>
      </c>
      <c r="AM3" s="4"/>
      <c r="AN3" s="5" t="s">
        <v>6</v>
      </c>
      <c r="AO3" s="6"/>
    </row>
    <row r="4" spans="1:41" ht="12.75">
      <c r="A4" s="141"/>
      <c r="C4" s="115" t="s">
        <v>7</v>
      </c>
      <c r="D4" s="115"/>
      <c r="E4" s="115"/>
      <c r="F4" s="115"/>
      <c r="G4" s="115"/>
      <c r="H4" s="149"/>
      <c r="I4" s="1" t="s">
        <v>3</v>
      </c>
      <c r="J4" s="150"/>
      <c r="K4" s="150"/>
      <c r="L4" s="150"/>
      <c r="M4" s="150"/>
      <c r="N4" s="150"/>
      <c r="O4" s="150"/>
      <c r="P4" s="150"/>
      <c r="AG4" s="115"/>
      <c r="AH4" s="115"/>
      <c r="AI4" s="115"/>
      <c r="AJ4" s="115"/>
      <c r="AK4" s="115"/>
      <c r="AL4" s="114"/>
      <c r="AM4" s="7"/>
      <c r="AN4" s="8"/>
      <c r="AO4" s="9"/>
    </row>
    <row r="5" spans="1:41" ht="12.75">
      <c r="A5" s="141"/>
      <c r="C5" s="10" t="s">
        <v>8</v>
      </c>
      <c r="D5" s="144"/>
      <c r="E5" s="144"/>
      <c r="F5" s="144"/>
      <c r="G5" s="144"/>
      <c r="H5" s="149"/>
      <c r="J5" s="111" t="s">
        <v>9</v>
      </c>
      <c r="K5" s="111"/>
      <c r="L5" s="139"/>
      <c r="M5" s="139"/>
      <c r="N5" s="139"/>
      <c r="O5" s="139"/>
      <c r="P5" s="139"/>
      <c r="AG5" s="10"/>
      <c r="AH5" s="137">
        <f>D5</f>
        <v>0</v>
      </c>
      <c r="AI5" s="137"/>
      <c r="AJ5" s="137"/>
      <c r="AK5" s="137"/>
      <c r="AL5" s="114"/>
      <c r="AM5" s="7"/>
      <c r="AN5" s="5" t="s">
        <v>10</v>
      </c>
      <c r="AO5" s="6"/>
    </row>
    <row r="6" spans="1:41" ht="25.5" customHeight="1">
      <c r="A6" s="141"/>
      <c r="C6" s="11" t="s">
        <v>11</v>
      </c>
      <c r="D6" s="152"/>
      <c r="E6" s="152"/>
      <c r="F6" s="152"/>
      <c r="G6" s="152"/>
      <c r="H6" s="149"/>
      <c r="I6" s="1" t="s">
        <v>3</v>
      </c>
      <c r="J6" s="111" t="s">
        <v>11</v>
      </c>
      <c r="K6" s="111"/>
      <c r="L6" s="139"/>
      <c r="M6" s="139"/>
      <c r="N6" s="139"/>
      <c r="O6" s="139"/>
      <c r="P6" s="139"/>
      <c r="AG6" s="11"/>
      <c r="AH6" s="137">
        <f>D6</f>
        <v>0</v>
      </c>
      <c r="AI6" s="137"/>
      <c r="AJ6" s="137"/>
      <c r="AK6" s="137"/>
      <c r="AL6" s="114"/>
      <c r="AM6" s="12"/>
      <c r="AN6" s="13"/>
      <c r="AO6" s="14"/>
    </row>
    <row r="7" spans="1:41" ht="12.75">
      <c r="A7" s="141"/>
      <c r="C7" s="11" t="s">
        <v>12</v>
      </c>
      <c r="D7" s="151"/>
      <c r="E7" s="151"/>
      <c r="F7" s="151"/>
      <c r="G7" s="151"/>
      <c r="H7" s="149"/>
      <c r="J7" s="111" t="s">
        <v>12</v>
      </c>
      <c r="K7" s="111"/>
      <c r="L7" s="139"/>
      <c r="M7" s="139"/>
      <c r="N7" s="139"/>
      <c r="O7" s="139"/>
      <c r="P7" s="139"/>
      <c r="AG7" s="11"/>
      <c r="AH7" s="137">
        <f>D7</f>
        <v>0</v>
      </c>
      <c r="AI7" s="137"/>
      <c r="AJ7" s="137"/>
      <c r="AK7" s="137"/>
      <c r="AL7" s="114"/>
      <c r="AM7" s="7"/>
      <c r="AN7" s="15" t="s">
        <v>13</v>
      </c>
      <c r="AO7" s="16"/>
    </row>
    <row r="8" spans="1:41" ht="12.75">
      <c r="A8" s="141"/>
      <c r="C8" s="11" t="s">
        <v>14</v>
      </c>
      <c r="D8" s="133"/>
      <c r="E8" s="133"/>
      <c r="F8" s="133"/>
      <c r="G8" s="133"/>
      <c r="H8" s="149"/>
      <c r="J8" s="106" t="s">
        <v>14</v>
      </c>
      <c r="K8" s="106"/>
      <c r="L8" s="140"/>
      <c r="M8" s="140"/>
      <c r="N8" s="140"/>
      <c r="O8" s="140"/>
      <c r="P8" s="140"/>
      <c r="AG8" s="11"/>
      <c r="AH8" s="137">
        <f>D8</f>
        <v>0</v>
      </c>
      <c r="AI8" s="137"/>
      <c r="AJ8" s="137"/>
      <c r="AK8" s="137"/>
      <c r="AL8" s="114"/>
      <c r="AM8" s="7"/>
      <c r="AN8" s="17"/>
      <c r="AO8" s="16"/>
    </row>
    <row r="9" spans="1:41" ht="12.75">
      <c r="A9" s="141"/>
      <c r="C9" s="101"/>
      <c r="D9" s="101"/>
      <c r="E9" s="101"/>
      <c r="F9" s="101"/>
      <c r="G9" s="101"/>
      <c r="H9" s="149"/>
      <c r="AG9" s="101"/>
      <c r="AH9" s="101"/>
      <c r="AI9" s="101"/>
      <c r="AJ9" s="101"/>
      <c r="AK9" s="101"/>
      <c r="AL9" s="114"/>
      <c r="AM9" s="7"/>
      <c r="AN9" s="18" t="s">
        <v>15</v>
      </c>
      <c r="AO9" s="6"/>
    </row>
    <row r="10" spans="1:41" ht="12.75">
      <c r="A10" s="141"/>
      <c r="C10" s="111" t="s">
        <v>16</v>
      </c>
      <c r="D10" s="111"/>
      <c r="E10" s="111"/>
      <c r="F10" s="111"/>
      <c r="G10" s="19" t="s">
        <v>17</v>
      </c>
      <c r="H10" s="149"/>
      <c r="AG10" s="111"/>
      <c r="AH10" s="111"/>
      <c r="AI10" s="111"/>
      <c r="AJ10" s="111"/>
      <c r="AK10" s="19" t="str">
        <f>G10</f>
        <v>H</v>
      </c>
      <c r="AL10" s="114"/>
      <c r="AM10" s="7"/>
      <c r="AN10" s="20"/>
      <c r="AO10" s="9"/>
    </row>
    <row r="11" spans="1:41" ht="12.75">
      <c r="A11" s="141"/>
      <c r="C11" s="111" t="s">
        <v>18</v>
      </c>
      <c r="D11" s="111"/>
      <c r="E11" s="145"/>
      <c r="F11" s="145"/>
      <c r="G11" s="145"/>
      <c r="H11" s="149"/>
      <c r="J11" s="116" t="s">
        <v>19</v>
      </c>
      <c r="K11" s="116"/>
      <c r="L11" s="116"/>
      <c r="M11" s="116"/>
      <c r="N11" s="116"/>
      <c r="O11" s="116"/>
      <c r="P11" s="116"/>
      <c r="AG11" s="111"/>
      <c r="AH11" s="111"/>
      <c r="AI11" s="138">
        <f>E11</f>
        <v>0</v>
      </c>
      <c r="AJ11" s="138"/>
      <c r="AK11" s="138"/>
      <c r="AL11" s="114"/>
      <c r="AM11" s="7"/>
      <c r="AN11" s="17" t="s">
        <v>20</v>
      </c>
      <c r="AO11" s="16"/>
    </row>
    <row r="12" spans="1:41" ht="12.75">
      <c r="A12" s="141"/>
      <c r="C12" s="111" t="s">
        <v>21</v>
      </c>
      <c r="D12" s="111"/>
      <c r="E12" s="133"/>
      <c r="F12" s="133"/>
      <c r="G12" s="133"/>
      <c r="H12" s="149"/>
      <c r="J12" s="134"/>
      <c r="K12" s="134"/>
      <c r="L12" s="134"/>
      <c r="M12" s="134"/>
      <c r="N12" s="134"/>
      <c r="O12" s="134"/>
      <c r="P12" s="134"/>
      <c r="AG12" s="111"/>
      <c r="AH12" s="111"/>
      <c r="AI12" s="130">
        <f>E12</f>
        <v>0</v>
      </c>
      <c r="AJ12" s="130"/>
      <c r="AK12" s="130"/>
      <c r="AL12" s="114"/>
      <c r="AM12" s="7"/>
      <c r="AN12" s="17"/>
      <c r="AO12" s="16"/>
    </row>
    <row r="13" spans="1:41" ht="33" customHeight="1">
      <c r="A13" s="141"/>
      <c r="C13" s="146" t="s">
        <v>22</v>
      </c>
      <c r="D13" s="146"/>
      <c r="E13" s="146"/>
      <c r="F13" s="146"/>
      <c r="G13" s="146"/>
      <c r="H13" s="149"/>
      <c r="I13" s="1" t="s">
        <v>3</v>
      </c>
      <c r="J13" s="134"/>
      <c r="K13" s="134"/>
      <c r="L13" s="134"/>
      <c r="M13" s="134"/>
      <c r="N13" s="134"/>
      <c r="O13" s="134"/>
      <c r="P13" s="134"/>
      <c r="AG13" s="131" t="str">
        <f>C14</f>
        <v>válasszon anyagot lejjebb</v>
      </c>
      <c r="AH13" s="131"/>
      <c r="AI13" s="131"/>
      <c r="AJ13" s="131"/>
      <c r="AK13" s="131"/>
      <c r="AL13" s="114"/>
      <c r="AM13" s="7"/>
      <c r="AN13" s="21" t="s">
        <v>23</v>
      </c>
      <c r="AO13" s="22"/>
    </row>
    <row r="14" spans="1:41" ht="14.25" customHeight="1">
      <c r="A14" s="141"/>
      <c r="C14" s="132" t="str">
        <f>IF(SUM(G55:I62)=0,"válasszon anyagot lejjebb",IF(SUM(G55:I62)=1,G52,IF(SUM(G55:I62)&gt;1,"Csak egy fajta anyagot válasszon","")))</f>
        <v>válasszon anyagot lejjebb</v>
      </c>
      <c r="D14" s="132"/>
      <c r="E14" s="132"/>
      <c r="F14" s="132"/>
      <c r="G14" s="132"/>
      <c r="H14" s="149"/>
      <c r="J14" s="134"/>
      <c r="K14" s="134"/>
      <c r="L14" s="134"/>
      <c r="M14" s="134"/>
      <c r="N14" s="134"/>
      <c r="O14" s="134"/>
      <c r="P14" s="134"/>
      <c r="AG14" s="131"/>
      <c r="AH14" s="131"/>
      <c r="AI14" s="131"/>
      <c r="AJ14" s="131"/>
      <c r="AK14" s="131"/>
      <c r="AL14" s="114"/>
      <c r="AM14" s="7"/>
      <c r="AN14" s="119" t="s">
        <v>24</v>
      </c>
      <c r="AO14" s="120"/>
    </row>
    <row r="15" spans="1:41" ht="25.5" customHeight="1" thickBot="1" thickTop="1">
      <c r="A15" s="141"/>
      <c r="C15" s="126" t="s">
        <v>69</v>
      </c>
      <c r="D15" s="127"/>
      <c r="E15" s="127"/>
      <c r="F15" s="127"/>
      <c r="G15" s="127"/>
      <c r="H15" s="149"/>
      <c r="J15" s="134"/>
      <c r="K15" s="134"/>
      <c r="L15" s="134"/>
      <c r="M15" s="134"/>
      <c r="N15" s="134"/>
      <c r="O15" s="134"/>
      <c r="P15" s="134"/>
      <c r="AG15" s="128" t="str">
        <f>IF(SUM(L51,N51)&lt;&gt;1,"Elhelyezés nincs kiválasztva",IF(L51=1,"Kültéri rolók !!!",IF(N51=1,"Beltéri rolók","Elhelyezés nincs kiválasztva")))</f>
        <v>Elhelyezés nincs kiválasztva</v>
      </c>
      <c r="AH15" s="128"/>
      <c r="AI15" s="128"/>
      <c r="AJ15" s="128"/>
      <c r="AK15" s="128"/>
      <c r="AL15" s="114"/>
      <c r="AM15" s="7"/>
      <c r="AN15" s="119"/>
      <c r="AO15" s="120"/>
    </row>
    <row r="16" spans="1:41" ht="24" customHeight="1" thickBot="1" thickTop="1">
      <c r="A16" s="141"/>
      <c r="C16" s="129" t="s">
        <v>25</v>
      </c>
      <c r="D16" s="129"/>
      <c r="E16" s="129"/>
      <c r="F16" s="129"/>
      <c r="G16" s="23"/>
      <c r="H16" s="149"/>
      <c r="J16" s="134"/>
      <c r="K16" s="134"/>
      <c r="L16" s="134"/>
      <c r="M16" s="134"/>
      <c r="N16" s="134"/>
      <c r="O16" s="134"/>
      <c r="P16" s="134"/>
      <c r="AG16" s="111"/>
      <c r="AH16" s="111"/>
      <c r="AI16" s="111"/>
      <c r="AJ16" s="111"/>
      <c r="AK16" s="66">
        <f>G16</f>
        <v>0</v>
      </c>
      <c r="AL16" s="114"/>
      <c r="AM16" s="7"/>
      <c r="AN16" s="119"/>
      <c r="AO16" s="120"/>
    </row>
    <row r="17" spans="1:41" ht="14.25" thickBot="1" thickTop="1">
      <c r="A17" s="141"/>
      <c r="C17" s="136">
        <f>IF(AND((G10="A"),(G16="N")),"Österreich leider nur Bankvorüberweisung möglich momentan","")</f>
      </c>
      <c r="D17" s="136"/>
      <c r="E17" s="136"/>
      <c r="F17" s="136"/>
      <c r="G17" s="136"/>
      <c r="H17" s="149"/>
      <c r="J17" s="134"/>
      <c r="K17" s="134"/>
      <c r="L17" s="134"/>
      <c r="M17" s="134"/>
      <c r="N17" s="134"/>
      <c r="O17" s="134"/>
      <c r="P17" s="134"/>
      <c r="AG17" s="123" t="str">
        <f>IF(D53=1,"1.oszt",IF(D53=2,"2.oszt !!!","hiba!!!"))</f>
        <v>1.oszt</v>
      </c>
      <c r="AH17" s="123"/>
      <c r="AI17" s="123"/>
      <c r="AJ17" s="123"/>
      <c r="AK17" s="123"/>
      <c r="AL17" s="114"/>
      <c r="AM17" s="7"/>
      <c r="AN17" s="119"/>
      <c r="AO17" s="120"/>
    </row>
    <row r="18" spans="1:40" ht="17.25" customHeight="1">
      <c r="A18" s="141"/>
      <c r="C18" s="124">
        <f>IF(AND(P51=1),"Faolajozás ára(Huf)","")</f>
      </c>
      <c r="D18" s="124"/>
      <c r="E18" s="124"/>
      <c r="F18" s="125">
        <f>IF(AND(P51=1),SUM(G120:G131)*2000,0)</f>
        <v>0</v>
      </c>
      <c r="G18" s="125"/>
      <c r="H18" s="149"/>
      <c r="J18" s="134"/>
      <c r="K18" s="134"/>
      <c r="L18" s="134"/>
      <c r="M18" s="134"/>
      <c r="N18" s="134"/>
      <c r="O18" s="134"/>
      <c r="P18" s="134"/>
      <c r="AG18" s="123"/>
      <c r="AH18" s="123"/>
      <c r="AI18" s="123"/>
      <c r="AJ18" s="123"/>
      <c r="AK18" s="123"/>
      <c r="AL18" s="114"/>
      <c r="AM18" s="24"/>
      <c r="AN18" s="25"/>
    </row>
    <row r="19" spans="1:41" ht="15" customHeight="1">
      <c r="A19" s="141"/>
      <c r="C19" s="111" t="s">
        <v>26</v>
      </c>
      <c r="D19" s="111"/>
      <c r="E19" s="111"/>
      <c r="F19" s="135">
        <f>IF(D53=2,0.7474747474*(SUM(G22:G33))+G20+F18,(SUM(G22:G33))+G20+F18)</f>
        <v>1550</v>
      </c>
      <c r="G19" s="135"/>
      <c r="H19" s="149"/>
      <c r="J19" s="134"/>
      <c r="K19" s="134"/>
      <c r="L19" s="134"/>
      <c r="M19" s="134"/>
      <c r="N19" s="134"/>
      <c r="O19" s="134"/>
      <c r="P19" s="134"/>
      <c r="AG19" s="123"/>
      <c r="AH19" s="123"/>
      <c r="AI19" s="123"/>
      <c r="AJ19" s="123"/>
      <c r="AK19" s="123"/>
      <c r="AL19" s="114"/>
      <c r="AM19" s="12"/>
      <c r="AN19" s="116" t="s">
        <v>27</v>
      </c>
      <c r="AO19" s="116"/>
    </row>
    <row r="20" spans="3:41" ht="15" customHeight="1">
      <c r="C20" s="117" t="s">
        <v>28</v>
      </c>
      <c r="D20" s="117"/>
      <c r="E20" s="117"/>
      <c r="F20" s="117"/>
      <c r="G20" s="26">
        <f>IF(G16="s",0,IF(OR(G16="E",G16="P"),1000,1550))</f>
        <v>1550</v>
      </c>
      <c r="H20" s="149"/>
      <c r="J20" s="134"/>
      <c r="K20" s="134"/>
      <c r="L20" s="134"/>
      <c r="M20" s="134"/>
      <c r="N20" s="134"/>
      <c r="O20" s="134"/>
      <c r="P20" s="134"/>
      <c r="AG20" s="117"/>
      <c r="AH20" s="117"/>
      <c r="AI20" s="117"/>
      <c r="AJ20" s="117"/>
      <c r="AK20" s="26"/>
      <c r="AL20" s="114"/>
      <c r="AM20" s="12"/>
      <c r="AN20" s="118">
        <f>L5</f>
        <v>0</v>
      </c>
      <c r="AO20" s="118"/>
    </row>
    <row r="21" spans="3:41" ht="24.75" customHeight="1">
      <c r="C21" s="11" t="s">
        <v>29</v>
      </c>
      <c r="D21" s="28" t="s">
        <v>30</v>
      </c>
      <c r="E21" s="28" t="s">
        <v>31</v>
      </c>
      <c r="F21" s="28" t="s">
        <v>32</v>
      </c>
      <c r="G21" s="29" t="s">
        <v>33</v>
      </c>
      <c r="H21" s="149"/>
      <c r="J21" s="134"/>
      <c r="K21" s="134"/>
      <c r="L21" s="134"/>
      <c r="M21" s="134"/>
      <c r="N21" s="134"/>
      <c r="O21" s="134"/>
      <c r="P21" s="134"/>
      <c r="AG21" s="30" t="str">
        <f>C21</f>
        <v>Tételszám</v>
      </c>
      <c r="AH21" s="31" t="s">
        <v>34</v>
      </c>
      <c r="AI21" s="31" t="s">
        <v>35</v>
      </c>
      <c r="AJ21" s="30" t="str">
        <f>F21</f>
        <v>Darabszám</v>
      </c>
      <c r="AK21" s="31" t="s">
        <v>36</v>
      </c>
      <c r="AL21" s="114"/>
      <c r="AM21" s="32" t="s">
        <v>37</v>
      </c>
      <c r="AN21" s="113">
        <f>IF(P51=1,"Kezelés faolajjal !!!","")</f>
      </c>
      <c r="AO21" s="113"/>
    </row>
    <row r="22" spans="1:41" ht="13.5" customHeight="1">
      <c r="A22" s="69" t="s">
        <v>0</v>
      </c>
      <c r="C22" s="11">
        <v>1</v>
      </c>
      <c r="D22" s="33"/>
      <c r="E22" s="33"/>
      <c r="F22" s="33"/>
      <c r="G22" s="34">
        <f aca="true" t="shared" si="0" ref="G22:G33">IF(I$65=1,IF(E22*D22&lt;1000000,F22*$AT$1,D22*E22*F22*$AT$1/1000000),IF(I$66=1,IF((E22+100)*D22&lt;1000000,F22*$AT$1,D22*(E22+100)*F22*$AT$1/1000000),IF(I$67=1,IF((E22+100)*D22&lt;1000000,F22*($AT$1+$AU$1),(((D22*(E22+100))*$AT$1/1000000)+$AU$1)*F22),0)))</f>
        <v>0</v>
      </c>
      <c r="H22" s="65"/>
      <c r="I22" s="121">
        <f aca="true" t="shared" si="1" ref="I22:I33">IF(AND(I$65=1,H22="B"),"LÁTHATÓ mechanika nem lehet balos",IF(AND($D$53=2,D22&gt;$F$52),"Túl széles másodosztályú anyagból",IF(D22&gt;F$52,"Túl széles",IF(OR(D22="",E22="",F22=""),"",IF(H22="","Balos vagy Jobbos?",IF(OR(D22&lt;181,E22&lt;200),"cm--&gt;mm ???",""))))))</f>
      </c>
      <c r="J22" s="121"/>
      <c r="K22" s="121"/>
      <c r="L22" s="121"/>
      <c r="M22" s="121"/>
      <c r="N22" s="110" t="str">
        <f aca="true" t="shared" si="2" ref="N22:N33">IF(OR(H22="B",H22="J",H22="")," ","A mechanika elhelyezése J vagy B lehet")</f>
        <v> </v>
      </c>
      <c r="O22" s="110"/>
      <c r="P22" s="110"/>
      <c r="Q22" s="1" t="str">
        <f aca="true" t="shared" si="3" ref="Q22:Q33">IF(OR(H22="B+J",H22="J+J",H22="J+B",H22="B+B"),"Két mechanika egy lécen"," ")</f>
        <v> </v>
      </c>
      <c r="AG22" s="11">
        <f aca="true" t="shared" si="4" ref="AG22:AG35">C22</f>
        <v>1</v>
      </c>
      <c r="AH22" s="11">
        <f aca="true" t="shared" si="5" ref="AH22:AH33">D22/10</f>
        <v>0</v>
      </c>
      <c r="AI22" s="11">
        <f aca="true" t="shared" si="6" ref="AI22:AI33">E22/10</f>
        <v>0</v>
      </c>
      <c r="AJ22" s="11">
        <f aca="true" t="shared" si="7" ref="AJ22:AJ34">F22</f>
        <v>0</v>
      </c>
      <c r="AK22" s="11">
        <f>IF(AJ22=0,0,IF($F$34="1",AI22+1,IF($F$35="g",AI22+11,AI22+13.5)))</f>
        <v>0</v>
      </c>
      <c r="AL22" s="35">
        <f aca="true" t="shared" si="8" ref="AL22:AL33">IF(H22="B","B",IF(H22="J","J",IF(H22="B+J","B+J",IF(H22="J+B","J+B",IF(H22="B+B","B+B",IF(H22="J+J","J+J",IF(ISBLANK(H22),H22,"Hiba")))))))</f>
        <v>0</v>
      </c>
      <c r="AM22" s="36">
        <f aca="true" t="shared" si="9" ref="AM22:AM33">IF($AK$34="g",((AH22*(2/3))+(5*AI22)),((3*AI22)+((2/3)*AH22)))</f>
        <v>0</v>
      </c>
      <c r="AN22" s="122">
        <f>J12</f>
        <v>0</v>
      </c>
      <c r="AO22" s="122"/>
    </row>
    <row r="23" spans="1:41" ht="14.25" customHeight="1">
      <c r="A23" s="69"/>
      <c r="C23" s="11">
        <f aca="true" t="shared" si="10" ref="C23:C33">C22+1</f>
        <v>2</v>
      </c>
      <c r="D23" s="33"/>
      <c r="E23" s="33"/>
      <c r="F23" s="33"/>
      <c r="G23" s="34">
        <f t="shared" si="0"/>
        <v>0</v>
      </c>
      <c r="H23" s="37"/>
      <c r="I23" s="109">
        <f t="shared" si="1"/>
      </c>
      <c r="J23" s="109"/>
      <c r="K23" s="109"/>
      <c r="L23" s="109"/>
      <c r="M23" s="109"/>
      <c r="N23" s="110" t="str">
        <f t="shared" si="2"/>
        <v> </v>
      </c>
      <c r="O23" s="110"/>
      <c r="P23" s="110"/>
      <c r="Q23" s="1" t="str">
        <f t="shared" si="3"/>
        <v> </v>
      </c>
      <c r="AG23" s="11">
        <f t="shared" si="4"/>
        <v>2</v>
      </c>
      <c r="AH23" s="11">
        <f t="shared" si="5"/>
        <v>0</v>
      </c>
      <c r="AI23" s="11">
        <f t="shared" si="6"/>
        <v>0</v>
      </c>
      <c r="AJ23" s="11">
        <f t="shared" si="7"/>
        <v>0</v>
      </c>
      <c r="AK23" s="11">
        <f aca="true" t="shared" si="11" ref="AK23:AK33">IF(AJ23=0,0,IF($F$34="1",AI23+1,IF($F$35="g",AI23+11,AI23+13.5)))</f>
        <v>0</v>
      </c>
      <c r="AL23" s="35">
        <f t="shared" si="8"/>
        <v>0</v>
      </c>
      <c r="AM23" s="36">
        <f t="shared" si="9"/>
        <v>0</v>
      </c>
      <c r="AN23" s="122"/>
      <c r="AO23" s="122"/>
    </row>
    <row r="24" spans="1:41" ht="14.25" customHeight="1">
      <c r="A24" s="69"/>
      <c r="C24" s="11">
        <f t="shared" si="10"/>
        <v>3</v>
      </c>
      <c r="D24" s="33"/>
      <c r="E24" s="33"/>
      <c r="F24" s="33"/>
      <c r="G24" s="34">
        <f t="shared" si="0"/>
        <v>0</v>
      </c>
      <c r="H24" s="37"/>
      <c r="I24" s="109">
        <f t="shared" si="1"/>
      </c>
      <c r="J24" s="109"/>
      <c r="K24" s="109"/>
      <c r="L24" s="109"/>
      <c r="M24" s="109"/>
      <c r="N24" s="110" t="str">
        <f t="shared" si="2"/>
        <v> </v>
      </c>
      <c r="O24" s="110"/>
      <c r="P24" s="110"/>
      <c r="Q24" s="1" t="str">
        <f t="shared" si="3"/>
        <v> </v>
      </c>
      <c r="AG24" s="11">
        <f t="shared" si="4"/>
        <v>3</v>
      </c>
      <c r="AH24" s="11">
        <f t="shared" si="5"/>
        <v>0</v>
      </c>
      <c r="AI24" s="11">
        <f t="shared" si="6"/>
        <v>0</v>
      </c>
      <c r="AJ24" s="11">
        <f t="shared" si="7"/>
        <v>0</v>
      </c>
      <c r="AK24" s="11">
        <f t="shared" si="11"/>
        <v>0</v>
      </c>
      <c r="AL24" s="35">
        <f t="shared" si="8"/>
        <v>0</v>
      </c>
      <c r="AM24" s="36">
        <f t="shared" si="9"/>
        <v>0</v>
      </c>
      <c r="AN24" s="122"/>
      <c r="AO24" s="122"/>
    </row>
    <row r="25" spans="1:41" ht="14.25" customHeight="1">
      <c r="A25" s="69"/>
      <c r="C25" s="11">
        <f t="shared" si="10"/>
        <v>4</v>
      </c>
      <c r="D25" s="33"/>
      <c r="E25" s="33"/>
      <c r="F25" s="33"/>
      <c r="G25" s="34">
        <f t="shared" si="0"/>
        <v>0</v>
      </c>
      <c r="H25" s="37"/>
      <c r="I25" s="109">
        <f t="shared" si="1"/>
      </c>
      <c r="J25" s="109"/>
      <c r="K25" s="109"/>
      <c r="L25" s="109"/>
      <c r="M25" s="109"/>
      <c r="N25" s="110" t="str">
        <f t="shared" si="2"/>
        <v> </v>
      </c>
      <c r="O25" s="110"/>
      <c r="P25" s="110"/>
      <c r="Q25" s="1" t="str">
        <f t="shared" si="3"/>
        <v> </v>
      </c>
      <c r="AG25" s="11">
        <f t="shared" si="4"/>
        <v>4</v>
      </c>
      <c r="AH25" s="11">
        <f t="shared" si="5"/>
        <v>0</v>
      </c>
      <c r="AI25" s="11">
        <f t="shared" si="6"/>
        <v>0</v>
      </c>
      <c r="AJ25" s="11">
        <f t="shared" si="7"/>
        <v>0</v>
      </c>
      <c r="AK25" s="11">
        <f t="shared" si="11"/>
        <v>0</v>
      </c>
      <c r="AL25" s="35">
        <f t="shared" si="8"/>
        <v>0</v>
      </c>
      <c r="AM25" s="36">
        <f t="shared" si="9"/>
        <v>0</v>
      </c>
      <c r="AN25" s="122"/>
      <c r="AO25" s="122"/>
    </row>
    <row r="26" spans="1:41" ht="14.25" customHeight="1">
      <c r="A26" s="69"/>
      <c r="C26" s="11">
        <f t="shared" si="10"/>
        <v>5</v>
      </c>
      <c r="D26" s="33"/>
      <c r="E26" s="33"/>
      <c r="F26" s="33"/>
      <c r="G26" s="34">
        <f t="shared" si="0"/>
        <v>0</v>
      </c>
      <c r="H26" s="37"/>
      <c r="I26" s="109">
        <f t="shared" si="1"/>
      </c>
      <c r="J26" s="109"/>
      <c r="K26" s="109"/>
      <c r="L26" s="109"/>
      <c r="M26" s="109"/>
      <c r="N26" s="110" t="str">
        <f t="shared" si="2"/>
        <v> </v>
      </c>
      <c r="O26" s="110"/>
      <c r="P26" s="110"/>
      <c r="Q26" s="1" t="str">
        <f t="shared" si="3"/>
        <v> </v>
      </c>
      <c r="AG26" s="11">
        <f t="shared" si="4"/>
        <v>5</v>
      </c>
      <c r="AH26" s="11">
        <f t="shared" si="5"/>
        <v>0</v>
      </c>
      <c r="AI26" s="11">
        <f t="shared" si="6"/>
        <v>0</v>
      </c>
      <c r="AJ26" s="11">
        <f t="shared" si="7"/>
        <v>0</v>
      </c>
      <c r="AK26" s="11">
        <f t="shared" si="11"/>
        <v>0</v>
      </c>
      <c r="AL26" s="35">
        <f t="shared" si="8"/>
        <v>0</v>
      </c>
      <c r="AM26" s="36">
        <f t="shared" si="9"/>
        <v>0</v>
      </c>
      <c r="AN26" s="122"/>
      <c r="AO26" s="122"/>
    </row>
    <row r="27" spans="1:41" ht="14.25" customHeight="1">
      <c r="A27" s="69"/>
      <c r="C27" s="11">
        <f t="shared" si="10"/>
        <v>6</v>
      </c>
      <c r="D27" s="33"/>
      <c r="E27" s="33"/>
      <c r="F27" s="33"/>
      <c r="G27" s="34">
        <f t="shared" si="0"/>
        <v>0</v>
      </c>
      <c r="H27" s="37"/>
      <c r="I27" s="109">
        <f t="shared" si="1"/>
      </c>
      <c r="J27" s="109"/>
      <c r="K27" s="109"/>
      <c r="L27" s="109"/>
      <c r="M27" s="109"/>
      <c r="N27" s="110" t="str">
        <f t="shared" si="2"/>
        <v> </v>
      </c>
      <c r="O27" s="110"/>
      <c r="P27" s="110"/>
      <c r="Q27" s="1" t="str">
        <f t="shared" si="3"/>
        <v> </v>
      </c>
      <c r="AG27" s="11">
        <f t="shared" si="4"/>
        <v>6</v>
      </c>
      <c r="AH27" s="11">
        <f t="shared" si="5"/>
        <v>0</v>
      </c>
      <c r="AI27" s="11">
        <f t="shared" si="6"/>
        <v>0</v>
      </c>
      <c r="AJ27" s="11">
        <f t="shared" si="7"/>
        <v>0</v>
      </c>
      <c r="AK27" s="11">
        <f t="shared" si="11"/>
        <v>0</v>
      </c>
      <c r="AL27" s="35">
        <f t="shared" si="8"/>
        <v>0</v>
      </c>
      <c r="AM27" s="36">
        <f t="shared" si="9"/>
        <v>0</v>
      </c>
      <c r="AN27" s="122"/>
      <c r="AO27" s="122"/>
    </row>
    <row r="28" spans="1:41" ht="14.25" customHeight="1">
      <c r="A28" s="69"/>
      <c r="C28" s="11">
        <f t="shared" si="10"/>
        <v>7</v>
      </c>
      <c r="D28" s="33"/>
      <c r="E28" s="33"/>
      <c r="F28" s="33"/>
      <c r="G28" s="34">
        <f t="shared" si="0"/>
        <v>0</v>
      </c>
      <c r="H28" s="37"/>
      <c r="I28" s="109">
        <f t="shared" si="1"/>
      </c>
      <c r="J28" s="109"/>
      <c r="K28" s="109"/>
      <c r="L28" s="109"/>
      <c r="M28" s="109"/>
      <c r="N28" s="110" t="str">
        <f t="shared" si="2"/>
        <v> </v>
      </c>
      <c r="O28" s="110"/>
      <c r="P28" s="110"/>
      <c r="Q28" s="1" t="str">
        <f t="shared" si="3"/>
        <v> </v>
      </c>
      <c r="AG28" s="11">
        <f t="shared" si="4"/>
        <v>7</v>
      </c>
      <c r="AH28" s="11">
        <f t="shared" si="5"/>
        <v>0</v>
      </c>
      <c r="AI28" s="11">
        <f t="shared" si="6"/>
        <v>0</v>
      </c>
      <c r="AJ28" s="11">
        <f t="shared" si="7"/>
        <v>0</v>
      </c>
      <c r="AK28" s="11">
        <f t="shared" si="11"/>
        <v>0</v>
      </c>
      <c r="AL28" s="35">
        <f t="shared" si="8"/>
        <v>0</v>
      </c>
      <c r="AM28" s="36">
        <f t="shared" si="9"/>
        <v>0</v>
      </c>
      <c r="AN28" s="122"/>
      <c r="AO28" s="122"/>
    </row>
    <row r="29" spans="1:41" ht="14.25" customHeight="1">
      <c r="A29" s="69"/>
      <c r="C29" s="11">
        <f t="shared" si="10"/>
        <v>8</v>
      </c>
      <c r="D29" s="33"/>
      <c r="E29" s="33"/>
      <c r="F29" s="33"/>
      <c r="G29" s="34">
        <f t="shared" si="0"/>
        <v>0</v>
      </c>
      <c r="H29" s="37"/>
      <c r="I29" s="109">
        <f t="shared" si="1"/>
      </c>
      <c r="J29" s="109"/>
      <c r="K29" s="109"/>
      <c r="L29" s="109"/>
      <c r="M29" s="109"/>
      <c r="N29" s="110" t="str">
        <f t="shared" si="2"/>
        <v> </v>
      </c>
      <c r="O29" s="110"/>
      <c r="P29" s="110"/>
      <c r="Q29" s="1" t="str">
        <f t="shared" si="3"/>
        <v> </v>
      </c>
      <c r="AG29" s="11">
        <f t="shared" si="4"/>
        <v>8</v>
      </c>
      <c r="AH29" s="11">
        <f t="shared" si="5"/>
        <v>0</v>
      </c>
      <c r="AI29" s="11">
        <f t="shared" si="6"/>
        <v>0</v>
      </c>
      <c r="AJ29" s="11">
        <f t="shared" si="7"/>
        <v>0</v>
      </c>
      <c r="AK29" s="11">
        <f t="shared" si="11"/>
        <v>0</v>
      </c>
      <c r="AL29" s="35">
        <f t="shared" si="8"/>
        <v>0</v>
      </c>
      <c r="AM29" s="36">
        <f t="shared" si="9"/>
        <v>0</v>
      </c>
      <c r="AN29" s="122"/>
      <c r="AO29" s="122"/>
    </row>
    <row r="30" spans="1:41" ht="14.25" customHeight="1">
      <c r="A30" s="69"/>
      <c r="C30" s="11">
        <f t="shared" si="10"/>
        <v>9</v>
      </c>
      <c r="D30" s="33"/>
      <c r="E30" s="33"/>
      <c r="F30" s="33"/>
      <c r="G30" s="34">
        <f t="shared" si="0"/>
        <v>0</v>
      </c>
      <c r="H30" s="37"/>
      <c r="I30" s="109">
        <f t="shared" si="1"/>
      </c>
      <c r="J30" s="109"/>
      <c r="K30" s="109"/>
      <c r="L30" s="109"/>
      <c r="M30" s="109"/>
      <c r="N30" s="110" t="str">
        <f t="shared" si="2"/>
        <v> </v>
      </c>
      <c r="O30" s="110"/>
      <c r="P30" s="110"/>
      <c r="Q30" s="1" t="str">
        <f t="shared" si="3"/>
        <v> </v>
      </c>
      <c r="AG30" s="11">
        <f t="shared" si="4"/>
        <v>9</v>
      </c>
      <c r="AH30" s="11">
        <f t="shared" si="5"/>
        <v>0</v>
      </c>
      <c r="AI30" s="11">
        <f t="shared" si="6"/>
        <v>0</v>
      </c>
      <c r="AJ30" s="11">
        <f t="shared" si="7"/>
        <v>0</v>
      </c>
      <c r="AK30" s="11">
        <f t="shared" si="11"/>
        <v>0</v>
      </c>
      <c r="AL30" s="35">
        <f t="shared" si="8"/>
        <v>0</v>
      </c>
      <c r="AM30" s="36">
        <f t="shared" si="9"/>
        <v>0</v>
      </c>
      <c r="AN30" s="122"/>
      <c r="AO30" s="122"/>
    </row>
    <row r="31" spans="1:41" ht="14.25" customHeight="1">
      <c r="A31" s="69"/>
      <c r="C31" s="11">
        <f t="shared" si="10"/>
        <v>10</v>
      </c>
      <c r="D31" s="33"/>
      <c r="E31" s="33"/>
      <c r="F31" s="33"/>
      <c r="G31" s="34">
        <f t="shared" si="0"/>
        <v>0</v>
      </c>
      <c r="H31" s="37"/>
      <c r="I31" s="109">
        <f t="shared" si="1"/>
      </c>
      <c r="J31" s="109"/>
      <c r="K31" s="109"/>
      <c r="L31" s="109"/>
      <c r="M31" s="109"/>
      <c r="N31" s="110" t="str">
        <f t="shared" si="2"/>
        <v> </v>
      </c>
      <c r="O31" s="110"/>
      <c r="P31" s="110"/>
      <c r="Q31" s="1" t="str">
        <f t="shared" si="3"/>
        <v> </v>
      </c>
      <c r="AG31" s="11">
        <f t="shared" si="4"/>
        <v>10</v>
      </c>
      <c r="AH31" s="11">
        <f t="shared" si="5"/>
        <v>0</v>
      </c>
      <c r="AI31" s="11">
        <f t="shared" si="6"/>
        <v>0</v>
      </c>
      <c r="AJ31" s="11">
        <f t="shared" si="7"/>
        <v>0</v>
      </c>
      <c r="AK31" s="11">
        <f t="shared" si="11"/>
        <v>0</v>
      </c>
      <c r="AL31" s="35">
        <f t="shared" si="8"/>
        <v>0</v>
      </c>
      <c r="AM31" s="36">
        <f t="shared" si="9"/>
        <v>0</v>
      </c>
      <c r="AN31" s="122"/>
      <c r="AO31" s="122"/>
    </row>
    <row r="32" spans="1:41" ht="14.25" customHeight="1">
      <c r="A32" s="69"/>
      <c r="C32" s="11">
        <f t="shared" si="10"/>
        <v>11</v>
      </c>
      <c r="D32" s="33"/>
      <c r="E32" s="33"/>
      <c r="F32" s="33"/>
      <c r="G32" s="34">
        <f t="shared" si="0"/>
        <v>0</v>
      </c>
      <c r="H32" s="37"/>
      <c r="I32" s="109">
        <f t="shared" si="1"/>
      </c>
      <c r="J32" s="109"/>
      <c r="K32" s="109"/>
      <c r="L32" s="109"/>
      <c r="M32" s="109"/>
      <c r="N32" s="110" t="str">
        <f t="shared" si="2"/>
        <v> </v>
      </c>
      <c r="O32" s="110"/>
      <c r="P32" s="110"/>
      <c r="Q32" s="1" t="str">
        <f t="shared" si="3"/>
        <v> </v>
      </c>
      <c r="AG32" s="11">
        <f t="shared" si="4"/>
        <v>11</v>
      </c>
      <c r="AH32" s="11">
        <f t="shared" si="5"/>
        <v>0</v>
      </c>
      <c r="AI32" s="11">
        <f t="shared" si="6"/>
        <v>0</v>
      </c>
      <c r="AJ32" s="11">
        <f t="shared" si="7"/>
        <v>0</v>
      </c>
      <c r="AK32" s="11">
        <f t="shared" si="11"/>
        <v>0</v>
      </c>
      <c r="AL32" s="35">
        <f t="shared" si="8"/>
        <v>0</v>
      </c>
      <c r="AM32" s="36">
        <f t="shared" si="9"/>
        <v>0</v>
      </c>
      <c r="AN32" s="122"/>
      <c r="AO32" s="122"/>
    </row>
    <row r="33" spans="1:41" ht="14.25" customHeight="1">
      <c r="A33" s="69"/>
      <c r="C33" s="38">
        <f t="shared" si="10"/>
        <v>12</v>
      </c>
      <c r="D33" s="33"/>
      <c r="E33" s="33"/>
      <c r="F33" s="33"/>
      <c r="G33" s="34">
        <f t="shared" si="0"/>
        <v>0</v>
      </c>
      <c r="H33" s="39"/>
      <c r="I33" s="109">
        <f t="shared" si="1"/>
      </c>
      <c r="J33" s="109"/>
      <c r="K33" s="109"/>
      <c r="L33" s="109"/>
      <c r="M33" s="109"/>
      <c r="N33" s="110" t="str">
        <f t="shared" si="2"/>
        <v> </v>
      </c>
      <c r="O33" s="110"/>
      <c r="P33" s="110"/>
      <c r="Q33" s="1" t="str">
        <f t="shared" si="3"/>
        <v> </v>
      </c>
      <c r="AG33" s="11">
        <f t="shared" si="4"/>
        <v>12</v>
      </c>
      <c r="AH33" s="11">
        <f t="shared" si="5"/>
        <v>0</v>
      </c>
      <c r="AI33" s="11">
        <f t="shared" si="6"/>
        <v>0</v>
      </c>
      <c r="AJ33" s="38">
        <f t="shared" si="7"/>
        <v>0</v>
      </c>
      <c r="AK33" s="11">
        <f t="shared" si="11"/>
        <v>0</v>
      </c>
      <c r="AL33" s="35">
        <f t="shared" si="8"/>
        <v>0</v>
      </c>
      <c r="AM33" s="36">
        <f t="shared" si="9"/>
        <v>0</v>
      </c>
      <c r="AN33" s="122"/>
      <c r="AO33" s="122"/>
    </row>
    <row r="34" spans="1:41" ht="12.75">
      <c r="A34" s="69"/>
      <c r="C34" s="111" t="s">
        <v>38</v>
      </c>
      <c r="D34" s="111"/>
      <c r="E34" s="111"/>
      <c r="F34" s="112">
        <f>IF(I65=1,"1",IF(OR(I66=1,I67=1),"2",""))</f>
      </c>
      <c r="G34" s="112"/>
      <c r="H34" s="112"/>
      <c r="I34" s="40"/>
      <c r="J34" s="41"/>
      <c r="K34" s="41"/>
      <c r="L34" s="3"/>
      <c r="M34" s="3"/>
      <c r="AG34" s="101" t="str">
        <f t="shared" si="4"/>
        <v>Mechanika:</v>
      </c>
      <c r="AH34" s="101"/>
      <c r="AI34" s="101"/>
      <c r="AJ34" s="100">
        <f t="shared" si="7"/>
      </c>
      <c r="AK34" s="100">
        <f>F35</f>
      </c>
      <c r="AL34" s="42"/>
      <c r="AM34" s="41"/>
      <c r="AN34" s="122"/>
      <c r="AO34" s="122"/>
    </row>
    <row r="35" spans="1:41" ht="12.75">
      <c r="A35" s="69"/>
      <c r="C35" s="106" t="s">
        <v>39</v>
      </c>
      <c r="D35" s="106"/>
      <c r="E35" s="106"/>
      <c r="F35" s="107">
        <f>IF(OR(I65=1,I66=1),"g",IF(I67=1,"r",""))</f>
      </c>
      <c r="G35" s="107"/>
      <c r="H35" s="107"/>
      <c r="I35" s="108">
        <f>IF(AND(E119=1,D53=2),CONCATENATE("A maximális szélesség ebből a másodosztályú anyagból ",F52,"mm. További információkért kérem keressen fel bennünket az ebolt@szizaltrend.hu email címen"),"")</f>
      </c>
      <c r="J35" s="108"/>
      <c r="K35" s="108"/>
      <c r="L35" s="108"/>
      <c r="M35" s="108"/>
      <c r="AG35" s="101" t="str">
        <f t="shared" si="4"/>
        <v>Roló felhúzódás:</v>
      </c>
      <c r="AH35" s="101"/>
      <c r="AI35" s="101"/>
      <c r="AJ35" s="100"/>
      <c r="AK35" s="100"/>
      <c r="AL35" s="27"/>
      <c r="AM35" s="41"/>
      <c r="AN35" s="122"/>
      <c r="AO35" s="122"/>
    </row>
    <row r="36" spans="1:41" ht="39.75" customHeight="1">
      <c r="A36" s="69"/>
      <c r="C36" s="43"/>
      <c r="D36" s="43"/>
      <c r="E36" s="43"/>
      <c r="F36" s="43"/>
      <c r="G36" s="43"/>
      <c r="I36" s="108"/>
      <c r="J36" s="108"/>
      <c r="K36" s="108"/>
      <c r="L36" s="108"/>
      <c r="M36" s="108"/>
      <c r="AG36" s="1" t="s">
        <v>71</v>
      </c>
      <c r="AJ36" s="100"/>
      <c r="AK36" s="100"/>
      <c r="AN36" s="122"/>
      <c r="AO36" s="122"/>
    </row>
    <row r="37" spans="1:41" ht="14.25" customHeight="1">
      <c r="A37" s="69"/>
      <c r="C37" s="88" t="s">
        <v>40</v>
      </c>
      <c r="D37" s="88"/>
      <c r="E37" s="88"/>
      <c r="F37" s="88"/>
      <c r="G37" s="88"/>
      <c r="H37" s="88"/>
      <c r="I37" s="88"/>
      <c r="J37" s="88"/>
      <c r="AJ37" s="100"/>
      <c r="AK37" s="100"/>
      <c r="AN37" s="122"/>
      <c r="AO37" s="122"/>
    </row>
    <row r="38" spans="1:40" ht="15.75">
      <c r="A38" s="69"/>
      <c r="C38" s="88"/>
      <c r="D38" s="88"/>
      <c r="E38" s="88"/>
      <c r="F38" s="88"/>
      <c r="G38" s="88"/>
      <c r="H38" s="88"/>
      <c r="I38" s="88"/>
      <c r="J38" s="88"/>
      <c r="AN38" s="44"/>
    </row>
    <row r="39" spans="1:38" ht="14.25" customHeight="1">
      <c r="A39" s="69"/>
      <c r="C39" s="88"/>
      <c r="D39" s="88"/>
      <c r="E39" s="88"/>
      <c r="F39" s="88"/>
      <c r="G39" s="88"/>
      <c r="H39" s="88"/>
      <c r="I39" s="88"/>
      <c r="J39" s="88"/>
      <c r="AG39" s="104" t="s">
        <v>41</v>
      </c>
      <c r="AH39" s="104"/>
      <c r="AI39" s="105" t="s">
        <v>42</v>
      </c>
      <c r="AJ39" s="105"/>
      <c r="AK39" s="105" t="s">
        <v>43</v>
      </c>
      <c r="AL39" s="105"/>
    </row>
    <row r="40" spans="1:38" ht="12.75">
      <c r="A40" s="69"/>
      <c r="C40" s="88"/>
      <c r="D40" s="88"/>
      <c r="E40" s="88"/>
      <c r="F40" s="88"/>
      <c r="G40" s="88"/>
      <c r="H40" s="88"/>
      <c r="I40" s="88"/>
      <c r="J40" s="88"/>
      <c r="AG40" s="104"/>
      <c r="AH40" s="104"/>
      <c r="AI40" s="105"/>
      <c r="AJ40" s="105"/>
      <c r="AK40" s="105"/>
      <c r="AL40" s="105"/>
    </row>
    <row r="41" spans="1:38" ht="14.25" customHeight="1">
      <c r="A41" s="69"/>
      <c r="C41" s="88"/>
      <c r="D41" s="88"/>
      <c r="E41" s="88"/>
      <c r="F41" s="88"/>
      <c r="G41" s="88"/>
      <c r="H41" s="88"/>
      <c r="I41" s="88"/>
      <c r="J41" s="88"/>
      <c r="AG41" s="103" t="s">
        <v>44</v>
      </c>
      <c r="AH41" s="103"/>
      <c r="AI41" s="102">
        <f>L67</f>
        <v>0</v>
      </c>
      <c r="AJ41" s="102"/>
      <c r="AK41" s="102">
        <f>M67</f>
        <v>0</v>
      </c>
      <c r="AL41" s="102"/>
    </row>
    <row r="42" spans="1:38" ht="12.75">
      <c r="A42" s="69"/>
      <c r="C42" s="88"/>
      <c r="D42" s="88"/>
      <c r="E42" s="88"/>
      <c r="F42" s="88"/>
      <c r="G42" s="88"/>
      <c r="H42" s="88"/>
      <c r="I42" s="88"/>
      <c r="J42" s="88"/>
      <c r="AG42" s="103"/>
      <c r="AH42" s="103"/>
      <c r="AI42" s="102"/>
      <c r="AJ42" s="102"/>
      <c r="AK42" s="102"/>
      <c r="AL42" s="102"/>
    </row>
    <row r="43" spans="1:38" ht="14.25" customHeight="1">
      <c r="A43" s="69"/>
      <c r="C43" s="88"/>
      <c r="D43" s="88"/>
      <c r="E43" s="88"/>
      <c r="F43" s="88"/>
      <c r="G43" s="88"/>
      <c r="H43" s="88"/>
      <c r="I43" s="88"/>
      <c r="J43" s="88"/>
      <c r="AG43" s="103" t="s">
        <v>45</v>
      </c>
      <c r="AH43" s="103"/>
      <c r="AI43" s="102">
        <f>L68</f>
        <v>0</v>
      </c>
      <c r="AJ43" s="102"/>
      <c r="AK43" s="102">
        <f>M68</f>
        <v>0</v>
      </c>
      <c r="AL43" s="102"/>
    </row>
    <row r="44" spans="1:38" ht="14.25" customHeight="1">
      <c r="A44" s="69"/>
      <c r="C44" s="88"/>
      <c r="D44" s="88"/>
      <c r="E44" s="88"/>
      <c r="F44" s="88"/>
      <c r="G44" s="88"/>
      <c r="H44" s="88"/>
      <c r="I44" s="88"/>
      <c r="J44" s="88"/>
      <c r="AG44" s="103"/>
      <c r="AH44" s="103"/>
      <c r="AI44" s="102"/>
      <c r="AJ44" s="102"/>
      <c r="AK44" s="102"/>
      <c r="AL44" s="102"/>
    </row>
    <row r="45" spans="1:10" ht="12.75">
      <c r="A45" s="69"/>
      <c r="C45" s="88"/>
      <c r="D45" s="88"/>
      <c r="E45" s="88"/>
      <c r="F45" s="88"/>
      <c r="G45" s="88"/>
      <c r="H45" s="88"/>
      <c r="I45" s="88"/>
      <c r="J45" s="88"/>
    </row>
    <row r="46" spans="1:10" ht="12.75">
      <c r="A46" s="69"/>
      <c r="C46" s="88"/>
      <c r="D46" s="88"/>
      <c r="E46" s="88"/>
      <c r="F46" s="88"/>
      <c r="G46" s="88"/>
      <c r="H46" s="88"/>
      <c r="I46" s="88"/>
      <c r="J46" s="88"/>
    </row>
    <row r="47" spans="1:17" ht="12.75">
      <c r="A47" s="69"/>
      <c r="C47" s="88"/>
      <c r="D47" s="88"/>
      <c r="E47" s="88"/>
      <c r="F47" s="88"/>
      <c r="G47" s="88"/>
      <c r="H47" s="88"/>
      <c r="I47" s="88"/>
      <c r="J47" s="88"/>
      <c r="L47" s="97" t="str">
        <f>IF(OR(AND(L51=0,N51=0)),"Kérem tegyen egy 1est a roló kívánt elhelyezéséhez",IF(OR(AND(L51=1,N51=0),AND(L51=0,N51=1)),"Sikeresen kiválasztotta az elhelyezést",IF(OR(L51&lt;&gt;1,N51&lt;&gt;1),"Kérem 1 est használjon a kívánt rolók megjelöléséhez","Egy megrendelőlapon csak egy fajta elhelyezést válasszon")))</f>
        <v>Kérem tegyen egy 1est a roló kívánt elhelyezéséhez</v>
      </c>
      <c r="M47" s="97"/>
      <c r="N47" s="97"/>
      <c r="O47" s="97"/>
      <c r="P47" s="98">
        <f>IF(AND(P51=1,N51&lt;&gt;1),"Sikeresen kiválasztotta a kültéri rolók faolajjal való kezelését",IF(AND(L51=1,N51&lt;&gt;1),"Kérem tegyen egy 1 est a P51-es mezőbe, ha szeretné a kültéri rolókat lekezelni faolajjal",IF(AND(N51=1,L51&lt;&gt;1),"A beltéri rolókat nem szükséges faolajjal kezelni. Ha mégis szeretné, tegyen egy 1est a P51-es mezőbe ","")))</f>
      </c>
      <c r="Q47" s="99" t="s">
        <v>46</v>
      </c>
    </row>
    <row r="48" spans="1:17" ht="29.25" customHeight="1">
      <c r="A48" s="69" t="s">
        <v>0</v>
      </c>
      <c r="C48" s="88"/>
      <c r="D48" s="88"/>
      <c r="E48" s="88"/>
      <c r="F48" s="88"/>
      <c r="G48" s="88"/>
      <c r="H48" s="88"/>
      <c r="I48" s="88"/>
      <c r="J48" s="88"/>
      <c r="L48" s="97"/>
      <c r="M48" s="97"/>
      <c r="N48" s="97"/>
      <c r="O48" s="97"/>
      <c r="P48" s="98"/>
      <c r="Q48" s="99"/>
    </row>
    <row r="49" spans="1:17" ht="12.75">
      <c r="A49" s="69"/>
      <c r="C49" s="88"/>
      <c r="D49" s="88"/>
      <c r="E49" s="88"/>
      <c r="F49" s="88"/>
      <c r="G49" s="88"/>
      <c r="H49" s="88"/>
      <c r="I49" s="88"/>
      <c r="J49" s="88"/>
      <c r="L49" s="89" t="s">
        <v>47</v>
      </c>
      <c r="M49" s="89"/>
      <c r="N49" s="90" t="s">
        <v>48</v>
      </c>
      <c r="O49" s="90"/>
      <c r="P49" s="98"/>
      <c r="Q49" s="91">
        <f>SUM(G120:G131)</f>
        <v>0</v>
      </c>
    </row>
    <row r="50" spans="1:17" ht="23.25" customHeight="1">
      <c r="A50" s="69"/>
      <c r="C50" s="88"/>
      <c r="D50" s="88"/>
      <c r="E50" s="88"/>
      <c r="F50" s="88"/>
      <c r="G50" s="88"/>
      <c r="H50" s="88"/>
      <c r="I50" s="88"/>
      <c r="J50" s="88"/>
      <c r="L50" s="89"/>
      <c r="M50" s="89"/>
      <c r="N50" s="90"/>
      <c r="O50" s="90"/>
      <c r="P50" s="98"/>
      <c r="Q50" s="91"/>
    </row>
    <row r="51" spans="1:17" ht="14.25" customHeight="1">
      <c r="A51" s="69"/>
      <c r="C51" s="88"/>
      <c r="D51" s="88"/>
      <c r="E51" s="88"/>
      <c r="F51" s="88"/>
      <c r="G51" s="88"/>
      <c r="H51" s="88"/>
      <c r="I51" s="88"/>
      <c r="J51" s="88"/>
      <c r="L51" s="92"/>
      <c r="M51" s="92"/>
      <c r="N51" s="93"/>
      <c r="O51" s="93"/>
      <c r="P51" s="94"/>
      <c r="Q51" s="95" t="s">
        <v>49</v>
      </c>
    </row>
    <row r="52" spans="1:17" ht="12.75">
      <c r="A52" s="69"/>
      <c r="C52" s="96" t="s">
        <v>50</v>
      </c>
      <c r="D52" s="96"/>
      <c r="E52" s="43"/>
      <c r="F52" s="87">
        <f>IF(G55=1,F55,IF(G56=1,F56,IF(G57=1,F57,IF(G58=1,F58,IF(G59=1,F59,IF(G60=1,F60,IF(G61=1,F61,IF(G62=1,F62,""))))))))</f>
      </c>
      <c r="G52" s="86">
        <f>IF(G55=1,E55,IF(G56=1,E56,IF(G57=1,E57,IF(G58=1,E58,IF(G59=1,E59,IF(G60=1,E60,IF(G61=1,E61,IF(G62=1,E62,""))))))))</f>
      </c>
      <c r="H52" s="86"/>
      <c r="I52" s="86"/>
      <c r="L52" s="92"/>
      <c r="M52" s="92"/>
      <c r="N52" s="93"/>
      <c r="O52" s="93"/>
      <c r="P52" s="94"/>
      <c r="Q52" s="95"/>
    </row>
    <row r="53" spans="1:9" ht="12.75">
      <c r="A53" s="69"/>
      <c r="C53" s="45" t="s">
        <v>51</v>
      </c>
      <c r="D53" s="46">
        <v>1</v>
      </c>
      <c r="E53" s="47">
        <f>IF(F55=1,E55,IF(F56=1,E56,IF(F57=1,E57,IF(F58=1,E58,IF(F59=1,E59,IF(F60=1,E60,IF(F61=1,E61,IF(F62=1,E62,""))))))))</f>
      </c>
      <c r="F53" s="87"/>
      <c r="G53" s="87"/>
      <c r="H53" s="86"/>
      <c r="I53" s="86"/>
    </row>
    <row r="54" spans="1:10" ht="120" customHeight="1">
      <c r="A54" s="69"/>
      <c r="C54" s="88" t="s">
        <v>52</v>
      </c>
      <c r="D54" s="88"/>
      <c r="E54" s="48" t="s">
        <v>53</v>
      </c>
      <c r="F54" s="49" t="s">
        <v>54</v>
      </c>
      <c r="G54" s="88" t="str">
        <f>IF(SUM(G55:G62)=0,"Kérem tegyen egy 1 est a kiválasztott anyaghoz ebbe az oszlopba",IF(SUM(G55:G62)=1,"Kiválasztotta az anyagot","egy megrendelőlapon csak egy fajta anyagot válasszon"))</f>
        <v>Kérem tegyen egy 1 est a kiválasztott anyaghoz ebbe az oszlopba</v>
      </c>
      <c r="H54" s="88"/>
      <c r="I54" s="88"/>
      <c r="J54" s="2"/>
    </row>
    <row r="55" spans="1:10" ht="177" customHeight="1">
      <c r="A55" s="69"/>
      <c r="C55" s="79"/>
      <c r="D55" s="79"/>
      <c r="E55" s="48" t="s">
        <v>55</v>
      </c>
      <c r="F55" s="50">
        <v>1800</v>
      </c>
      <c r="G55" s="80"/>
      <c r="H55" s="80"/>
      <c r="I55" s="80"/>
      <c r="J55" s="51"/>
    </row>
    <row r="56" spans="1:10" ht="180.75" customHeight="1" thickBot="1" thickTop="1">
      <c r="A56" s="69" t="s">
        <v>0</v>
      </c>
      <c r="C56" s="79"/>
      <c r="D56" s="79"/>
      <c r="E56" s="48" t="s">
        <v>56</v>
      </c>
      <c r="F56" s="50">
        <f>IF(D53=1,H135,IF(D53=2,H136))</f>
        <v>1800</v>
      </c>
      <c r="G56" s="80"/>
      <c r="H56" s="80"/>
      <c r="I56" s="80"/>
      <c r="J56" s="51"/>
    </row>
    <row r="57" spans="1:10" ht="180.75" customHeight="1" hidden="1">
      <c r="A57" s="69"/>
      <c r="C57" s="79"/>
      <c r="D57" s="79"/>
      <c r="E57" s="48"/>
      <c r="F57" s="50">
        <v>1200</v>
      </c>
      <c r="G57" s="80"/>
      <c r="H57" s="80"/>
      <c r="I57" s="80"/>
      <c r="J57" s="51"/>
    </row>
    <row r="58" spans="1:12" ht="181.5" customHeight="1" thickBot="1" thickTop="1">
      <c r="A58" s="69" t="s">
        <v>0</v>
      </c>
      <c r="C58" s="79"/>
      <c r="D58" s="79"/>
      <c r="E58" s="48" t="s">
        <v>57</v>
      </c>
      <c r="F58" s="50">
        <f>IF(D53=1,I135,IF(D53=2,I136))</f>
        <v>1800</v>
      </c>
      <c r="G58" s="80"/>
      <c r="H58" s="80"/>
      <c r="I58" s="80"/>
      <c r="J58" s="70"/>
      <c r="K58" s="71"/>
      <c r="L58" s="71"/>
    </row>
    <row r="59" spans="1:10" ht="180" customHeight="1" thickBot="1" thickTop="1">
      <c r="A59" s="69"/>
      <c r="C59" s="79"/>
      <c r="D59" s="79"/>
      <c r="E59" s="48" t="s">
        <v>58</v>
      </c>
      <c r="F59" s="50">
        <f>IF(D53=1,J135,IF(D53=2,J136))</f>
        <v>1800</v>
      </c>
      <c r="G59" s="80"/>
      <c r="H59" s="80"/>
      <c r="I59" s="80"/>
      <c r="J59" s="51"/>
    </row>
    <row r="60" spans="1:12" ht="181.5" customHeight="1" thickBot="1" thickTop="1">
      <c r="A60" s="69" t="s">
        <v>0</v>
      </c>
      <c r="C60" s="79"/>
      <c r="D60" s="79"/>
      <c r="E60" s="48" t="s">
        <v>59</v>
      </c>
      <c r="F60" s="50">
        <f>IF(D53=1,K135,IF(D53=2,K136))</f>
        <v>1800</v>
      </c>
      <c r="G60" s="80"/>
      <c r="H60" s="80"/>
      <c r="I60" s="80"/>
      <c r="J60" s="68" t="s">
        <v>60</v>
      </c>
      <c r="K60" s="68"/>
      <c r="L60" s="68"/>
    </row>
    <row r="61" spans="1:10" ht="182.25" customHeight="1" hidden="1">
      <c r="A61" s="69"/>
      <c r="C61" s="79"/>
      <c r="D61" s="79"/>
      <c r="E61" s="48"/>
      <c r="F61" s="50">
        <v>1200</v>
      </c>
      <c r="G61" s="80"/>
      <c r="H61" s="80"/>
      <c r="I61" s="80"/>
      <c r="J61" s="51"/>
    </row>
    <row r="62" spans="1:12" ht="179.25" customHeight="1" thickBot="1" thickTop="1">
      <c r="A62" s="69" t="s">
        <v>0</v>
      </c>
      <c r="C62" s="81"/>
      <c r="D62" s="81"/>
      <c r="E62" s="48" t="s">
        <v>61</v>
      </c>
      <c r="F62" s="50">
        <f>IF(D53=1,L135,IF(D53=2,L136))</f>
        <v>1800</v>
      </c>
      <c r="G62" s="82"/>
      <c r="H62" s="82"/>
      <c r="I62" s="82"/>
      <c r="J62" s="70" t="s">
        <v>72</v>
      </c>
      <c r="K62" s="71"/>
      <c r="L62" s="71"/>
    </row>
    <row r="63" ht="14.25" thickBot="1" thickTop="1">
      <c r="A63" s="69"/>
    </row>
    <row r="64" spans="1:9" ht="45.75" customHeight="1">
      <c r="A64" s="69"/>
      <c r="C64" s="83" t="str">
        <f>IF(I65+I66+I67&gt;1,"Csak egy fajtát válasszon ki!","A Roló formátumot választhatja ki. Tegyen egy egyest a kiválasztott fajta mögé")</f>
        <v>A Roló formátumot választhatja ki. Tegyen egy egyest a kiválasztott fajta mögé</v>
      </c>
      <c r="D64" s="83"/>
      <c r="E64" s="83"/>
      <c r="F64" s="83"/>
      <c r="G64" s="83"/>
      <c r="H64" s="83"/>
      <c r="I64" s="83"/>
    </row>
    <row r="65" spans="1:9" ht="142.5" customHeight="1">
      <c r="A65" s="69"/>
      <c r="C65" s="84"/>
      <c r="D65" s="84"/>
      <c r="E65" s="84"/>
      <c r="F65" s="85" t="s">
        <v>70</v>
      </c>
      <c r="G65" s="85"/>
      <c r="H65" s="85"/>
      <c r="I65" s="52"/>
    </row>
    <row r="66" spans="1:13" ht="170.25" customHeight="1">
      <c r="A66" s="69" t="s">
        <v>63</v>
      </c>
      <c r="C66" s="74"/>
      <c r="D66" s="74"/>
      <c r="E66" s="74"/>
      <c r="F66" s="75" t="s">
        <v>64</v>
      </c>
      <c r="G66" s="75"/>
      <c r="H66" s="75"/>
      <c r="I66" s="53"/>
      <c r="J66" s="76">
        <f>IF((I66+I67&gt;0),("Rejtett mechanikás termékek választása esetén kérjük tegyen egy egyest a megfelelő rögzítési módhoz!"),(""))</f>
      </c>
      <c r="K66" s="54" t="str">
        <f>IF(I65=1,("Ezt a táblázatot klasszikus roló esetén ne töltse ki!"),(IF(L67+M67+L68+M68&gt;1,("Csak egy helyre tegyen egyest!"),("Rejtett mechanikák esetén tegyen egy egyest a kiválasztott rögzítési módhoz."))))</f>
        <v>Rejtett mechanikák esetén tegyen egy egyest a kiválasztott rögzítési módhoz.</v>
      </c>
      <c r="L66" s="55" t="s">
        <v>42</v>
      </c>
      <c r="M66" s="55" t="s">
        <v>43</v>
      </c>
    </row>
    <row r="67" spans="1:13" ht="177.75" customHeight="1">
      <c r="A67" s="69"/>
      <c r="C67" s="77"/>
      <c r="D67" s="77"/>
      <c r="E67" s="77"/>
      <c r="F67" s="78" t="s">
        <v>65</v>
      </c>
      <c r="G67" s="78"/>
      <c r="H67" s="78"/>
      <c r="I67" s="56"/>
      <c r="J67" s="76"/>
      <c r="K67" s="55" t="s">
        <v>44</v>
      </c>
      <c r="L67" s="57"/>
      <c r="M67" s="58"/>
    </row>
    <row r="68" spans="11:13" ht="13.5" customHeight="1">
      <c r="K68" s="72" t="s">
        <v>45</v>
      </c>
      <c r="L68" s="73"/>
      <c r="M68" s="73"/>
    </row>
    <row r="69" spans="11:13" ht="13.5" customHeight="1">
      <c r="K69" s="72"/>
      <c r="L69" s="73"/>
      <c r="M69" s="73"/>
    </row>
    <row r="70" spans="11:13" ht="14.25" customHeight="1">
      <c r="K70" s="72"/>
      <c r="L70" s="73"/>
      <c r="M70" s="73"/>
    </row>
    <row r="71" spans="2:13" ht="12.75">
      <c r="B71" s="43"/>
      <c r="C71" s="43"/>
      <c r="D71" s="43"/>
      <c r="E71" s="43"/>
      <c r="F71" s="43"/>
      <c r="G71" s="43"/>
      <c r="H71" s="43"/>
      <c r="I71" s="43"/>
      <c r="J71" s="43"/>
      <c r="K71" s="72"/>
      <c r="L71" s="73"/>
      <c r="M71" s="73"/>
    </row>
    <row r="72" spans="2:13" ht="13.5" customHeight="1">
      <c r="B72" s="43"/>
      <c r="C72" s="59"/>
      <c r="D72" s="59"/>
      <c r="E72" s="59"/>
      <c r="F72" s="59"/>
      <c r="G72" s="59"/>
      <c r="H72" s="59"/>
      <c r="I72" s="59"/>
      <c r="J72" s="59"/>
      <c r="K72" s="72"/>
      <c r="L72" s="73"/>
      <c r="M72" s="73"/>
    </row>
    <row r="73" spans="2:13" ht="12.75">
      <c r="B73" s="43"/>
      <c r="C73" s="59"/>
      <c r="D73" s="59"/>
      <c r="E73" s="59"/>
      <c r="F73" s="59"/>
      <c r="G73" s="59"/>
      <c r="H73" s="59"/>
      <c r="I73" s="59"/>
      <c r="J73" s="59"/>
      <c r="K73" s="72"/>
      <c r="L73" s="73"/>
      <c r="M73" s="73"/>
    </row>
    <row r="74" spans="2:13" ht="12.75">
      <c r="B74" s="43"/>
      <c r="C74" s="59"/>
      <c r="D74" s="59"/>
      <c r="E74" s="59"/>
      <c r="F74" s="59"/>
      <c r="G74" s="59"/>
      <c r="H74" s="59"/>
      <c r="I74" s="59"/>
      <c r="J74" s="59"/>
      <c r="K74" s="72"/>
      <c r="L74" s="73"/>
      <c r="M74" s="73"/>
    </row>
    <row r="75" spans="2:13" ht="12.75">
      <c r="B75" s="43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43"/>
    </row>
    <row r="76" spans="2:13" ht="12.75">
      <c r="B76" s="43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43"/>
    </row>
    <row r="77" spans="2:13" ht="12.75">
      <c r="B77" s="43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43"/>
    </row>
    <row r="78" spans="2:13" ht="12.75">
      <c r="B78" s="43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43"/>
    </row>
    <row r="79" spans="2:13" ht="12.75">
      <c r="B79" s="43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43"/>
    </row>
    <row r="80" spans="2:13" ht="12.75">
      <c r="B80" s="43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43"/>
    </row>
    <row r="81" spans="2:13" ht="12.75">
      <c r="B81" s="43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43"/>
    </row>
    <row r="82" spans="2:13" ht="12.75">
      <c r="B82" s="43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43"/>
    </row>
    <row r="83" spans="2:13" ht="12.75">
      <c r="B83" s="43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43"/>
    </row>
    <row r="84" spans="2:13" ht="12.75">
      <c r="B84" s="43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43"/>
    </row>
    <row r="85" spans="2:13" ht="12.75">
      <c r="B85" s="43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43"/>
    </row>
    <row r="86" spans="2:13" ht="12.75">
      <c r="B86" s="43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43"/>
    </row>
    <row r="87" spans="2:13" ht="12.75">
      <c r="B87" s="43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43"/>
    </row>
    <row r="88" spans="2:13" ht="12.75">
      <c r="B88" s="43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43"/>
    </row>
    <row r="89" spans="2:13" ht="12.75">
      <c r="B89" s="43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43"/>
    </row>
    <row r="90" spans="2:13" ht="12.75">
      <c r="B90" s="43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43"/>
    </row>
    <row r="91" spans="2:13" ht="12.75">
      <c r="B91" s="43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43"/>
    </row>
    <row r="92" spans="2:13" ht="12.75">
      <c r="B92" s="43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43"/>
    </row>
    <row r="93" spans="2:13" ht="12.75">
      <c r="B93" s="43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43"/>
    </row>
    <row r="94" spans="2:13" ht="12.75">
      <c r="B94" s="43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43"/>
    </row>
    <row r="95" spans="2:13" ht="12.75">
      <c r="B95" s="43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43"/>
    </row>
    <row r="96" spans="2:13" ht="12.75">
      <c r="B96" s="43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43"/>
    </row>
    <row r="97" spans="2:13" ht="12.75">
      <c r="B97" s="43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43"/>
    </row>
    <row r="98" spans="2:13" ht="12.75">
      <c r="B98" s="43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3"/>
    </row>
    <row r="99" spans="2:13" ht="12.75">
      <c r="B99" s="43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43"/>
    </row>
    <row r="100" spans="2:13" ht="12.75">
      <c r="B100" s="43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43"/>
    </row>
    <row r="101" spans="2:13" ht="12.75">
      <c r="B101" s="43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43"/>
    </row>
    <row r="102" spans="2:13" ht="12.75">
      <c r="B102" s="43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43"/>
    </row>
    <row r="103" spans="2:13" ht="12.75">
      <c r="B103" s="43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43"/>
    </row>
    <row r="104" spans="2:13" ht="12.75">
      <c r="B104" s="43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43"/>
    </row>
    <row r="105" spans="2:13" ht="12.75">
      <c r="B105" s="43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43"/>
    </row>
    <row r="106" spans="2:13" ht="12.75">
      <c r="B106" s="43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43"/>
    </row>
    <row r="107" spans="2:13" ht="12.75">
      <c r="B107" s="43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43"/>
    </row>
    <row r="108" spans="2:13" ht="12.75">
      <c r="B108" s="43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43"/>
    </row>
    <row r="109" spans="2:13" ht="12.75">
      <c r="B109" s="43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43"/>
    </row>
    <row r="110" spans="2:13" ht="12.75">
      <c r="B110" s="43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43"/>
    </row>
    <row r="111" spans="2:13" ht="12.75">
      <c r="B111" s="43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43"/>
    </row>
    <row r="112" spans="2:13" ht="12.75">
      <c r="B112" s="43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43"/>
    </row>
    <row r="113" spans="2:13" ht="12.75">
      <c r="B113" s="43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43"/>
    </row>
    <row r="114" spans="2:13" ht="12.75">
      <c r="B114" s="43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3"/>
    </row>
    <row r="115" spans="2:13" ht="28.5" customHeight="1">
      <c r="B115" s="43"/>
      <c r="C115" s="61"/>
      <c r="D115" s="61"/>
      <c r="E115" s="61"/>
      <c r="F115" s="61"/>
      <c r="G115" s="61"/>
      <c r="H115" s="61"/>
      <c r="I115" s="61"/>
      <c r="J115" s="61"/>
      <c r="K115" s="41"/>
      <c r="L115" s="41"/>
      <c r="M115" s="43"/>
    </row>
    <row r="116" spans="2:13" ht="12.75">
      <c r="B116" s="43"/>
      <c r="C116" s="61"/>
      <c r="D116" s="61"/>
      <c r="E116" s="61"/>
      <c r="F116" s="61"/>
      <c r="G116" s="61"/>
      <c r="H116" s="61"/>
      <c r="I116" s="61"/>
      <c r="J116" s="61"/>
      <c r="K116" s="41"/>
      <c r="L116" s="41"/>
      <c r="M116" s="43"/>
    </row>
    <row r="117" spans="2:13" ht="18">
      <c r="B117" s="43"/>
      <c r="C117" s="62"/>
      <c r="D117" s="62"/>
      <c r="E117" s="62"/>
      <c r="F117" s="62"/>
      <c r="G117" s="62"/>
      <c r="H117" s="62"/>
      <c r="I117" s="62"/>
      <c r="J117" s="62"/>
      <c r="K117" s="41"/>
      <c r="L117" s="41"/>
      <c r="M117" s="43"/>
    </row>
    <row r="118" spans="3:12" ht="12.75"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3:6" ht="33">
      <c r="C119" s="63">
        <v>10</v>
      </c>
      <c r="D119" s="63"/>
      <c r="E119" s="64">
        <f>IF(OR(D22&gt;F52,D23&gt;F52,D24&gt;F52,D25&gt;F52,D26&gt;F52,D27&gt;F52,D28&gt;F52,D29&gt;F52,D30&gt;F52,D31&gt;F52,D32&gt;F52,D33&gt;F52),1,0)</f>
        <v>0</v>
      </c>
      <c r="F119" s="64"/>
    </row>
    <row r="120" spans="5:7" ht="12.75">
      <c r="E120" s="1" t="b">
        <f aca="true" t="shared" si="12" ref="E120:E131">AND(D22&gt;$F$52,$D$53=2)</f>
        <v>0</v>
      </c>
      <c r="G120" s="1">
        <f aca="true" t="shared" si="13" ref="G120:G131">((D22/1000)*(E22/1000))*F22</f>
        <v>0</v>
      </c>
    </row>
    <row r="121" spans="5:7" ht="12.75">
      <c r="E121" s="1" t="b">
        <f t="shared" si="12"/>
        <v>0</v>
      </c>
      <c r="G121" s="1">
        <f t="shared" si="13"/>
        <v>0</v>
      </c>
    </row>
    <row r="122" spans="5:7" ht="12.75">
      <c r="E122" s="1" t="b">
        <f t="shared" si="12"/>
        <v>0</v>
      </c>
      <c r="G122" s="1">
        <f t="shared" si="13"/>
        <v>0</v>
      </c>
    </row>
    <row r="123" spans="5:7" ht="12.75">
      <c r="E123" s="1" t="b">
        <f t="shared" si="12"/>
        <v>0</v>
      </c>
      <c r="G123" s="1">
        <f t="shared" si="13"/>
        <v>0</v>
      </c>
    </row>
    <row r="124" spans="5:7" ht="12.75">
      <c r="E124" s="1" t="b">
        <f t="shared" si="12"/>
        <v>0</v>
      </c>
      <c r="G124" s="1">
        <f t="shared" si="13"/>
        <v>0</v>
      </c>
    </row>
    <row r="125" spans="5:7" ht="12.75">
      <c r="E125" s="1" t="b">
        <f t="shared" si="12"/>
        <v>0</v>
      </c>
      <c r="G125" s="1">
        <f t="shared" si="13"/>
        <v>0</v>
      </c>
    </row>
    <row r="126" spans="5:7" ht="12.75">
      <c r="E126" s="1" t="b">
        <f t="shared" si="12"/>
        <v>0</v>
      </c>
      <c r="G126" s="1">
        <f t="shared" si="13"/>
        <v>0</v>
      </c>
    </row>
    <row r="127" spans="5:7" ht="12.75">
      <c r="E127" s="1" t="b">
        <f t="shared" si="12"/>
        <v>0</v>
      </c>
      <c r="G127" s="1">
        <f t="shared" si="13"/>
        <v>0</v>
      </c>
    </row>
    <row r="128" spans="5:7" ht="12.75">
      <c r="E128" s="1" t="b">
        <f t="shared" si="12"/>
        <v>0</v>
      </c>
      <c r="G128" s="1">
        <f t="shared" si="13"/>
        <v>0</v>
      </c>
    </row>
    <row r="129" spans="5:7" ht="12.75">
      <c r="E129" s="1" t="b">
        <f t="shared" si="12"/>
        <v>0</v>
      </c>
      <c r="G129" s="1">
        <f t="shared" si="13"/>
        <v>0</v>
      </c>
    </row>
    <row r="130" spans="5:7" ht="12.75">
      <c r="E130" s="1" t="b">
        <f t="shared" si="12"/>
        <v>0</v>
      </c>
      <c r="G130" s="1">
        <f t="shared" si="13"/>
        <v>0</v>
      </c>
    </row>
    <row r="131" spans="5:7" ht="12.75">
      <c r="E131" s="1" t="b">
        <f t="shared" si="12"/>
        <v>0</v>
      </c>
      <c r="G131" s="1">
        <f t="shared" si="13"/>
        <v>0</v>
      </c>
    </row>
    <row r="133" ht="15.75" customHeight="1"/>
    <row r="134" spans="7:12" ht="12.75">
      <c r="G134" s="1" t="s">
        <v>55</v>
      </c>
      <c r="H134" s="1" t="s">
        <v>56</v>
      </c>
      <c r="I134" s="1" t="s">
        <v>57</v>
      </c>
      <c r="J134" s="1" t="s">
        <v>58</v>
      </c>
      <c r="K134" s="1" t="s">
        <v>59</v>
      </c>
      <c r="L134" s="1" t="s">
        <v>61</v>
      </c>
    </row>
    <row r="135" spans="6:12" ht="12.75">
      <c r="F135" s="1" t="s">
        <v>66</v>
      </c>
      <c r="G135" s="1">
        <v>1800</v>
      </c>
      <c r="H135" s="1">
        <v>1800</v>
      </c>
      <c r="I135" s="1">
        <v>1800</v>
      </c>
      <c r="J135" s="1">
        <v>1800</v>
      </c>
      <c r="K135" s="1">
        <v>1800</v>
      </c>
      <c r="L135" s="1">
        <v>1800</v>
      </c>
    </row>
    <row r="136" spans="6:12" ht="12.75">
      <c r="F136" s="1" t="s">
        <v>67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1200</v>
      </c>
    </row>
    <row r="140" ht="13.5" thickBot="1"/>
    <row r="141" spans="5:7" ht="15.75" thickBot="1">
      <c r="E141" s="85" t="s">
        <v>62</v>
      </c>
      <c r="F141" s="85"/>
      <c r="G141" s="85"/>
    </row>
  </sheetData>
  <sheetProtection password="C6AC" sheet="1"/>
  <mergeCells count="157">
    <mergeCell ref="E141:G141"/>
    <mergeCell ref="AG1:AK1"/>
    <mergeCell ref="C3:G3"/>
    <mergeCell ref="H3:H21"/>
    <mergeCell ref="J3:P4"/>
    <mergeCell ref="AG3:AK3"/>
    <mergeCell ref="AH6:AK6"/>
    <mergeCell ref="D7:G7"/>
    <mergeCell ref="J7:K7"/>
    <mergeCell ref="D6:G6"/>
    <mergeCell ref="A1:A19"/>
    <mergeCell ref="C1:I1"/>
    <mergeCell ref="D5:G5"/>
    <mergeCell ref="J5:K5"/>
    <mergeCell ref="D8:G8"/>
    <mergeCell ref="J8:K8"/>
    <mergeCell ref="C11:D11"/>
    <mergeCell ref="E11:G11"/>
    <mergeCell ref="C9:G9"/>
    <mergeCell ref="C13:G13"/>
    <mergeCell ref="AH5:AK5"/>
    <mergeCell ref="AI11:AK11"/>
    <mergeCell ref="L7:P7"/>
    <mergeCell ref="AH7:AK7"/>
    <mergeCell ref="L8:P8"/>
    <mergeCell ref="AH8:AK8"/>
    <mergeCell ref="J11:P11"/>
    <mergeCell ref="AG11:AH11"/>
    <mergeCell ref="L6:P6"/>
    <mergeCell ref="L5:P5"/>
    <mergeCell ref="AG9:AK9"/>
    <mergeCell ref="C10:F10"/>
    <mergeCell ref="AG10:AJ10"/>
    <mergeCell ref="J6:K6"/>
    <mergeCell ref="AI12:AK12"/>
    <mergeCell ref="AG13:AK14"/>
    <mergeCell ref="C14:G14"/>
    <mergeCell ref="C12:D12"/>
    <mergeCell ref="E12:G12"/>
    <mergeCell ref="J12:P21"/>
    <mergeCell ref="AG12:AH12"/>
    <mergeCell ref="C19:E19"/>
    <mergeCell ref="F19:G19"/>
    <mergeCell ref="C17:G17"/>
    <mergeCell ref="AG17:AK19"/>
    <mergeCell ref="C18:E18"/>
    <mergeCell ref="F18:G18"/>
    <mergeCell ref="C15:G15"/>
    <mergeCell ref="AG15:AK15"/>
    <mergeCell ref="C16:F16"/>
    <mergeCell ref="AG16:AJ16"/>
    <mergeCell ref="A22:A47"/>
    <mergeCell ref="I22:M22"/>
    <mergeCell ref="N22:P22"/>
    <mergeCell ref="AN22:AO37"/>
    <mergeCell ref="I23:M23"/>
    <mergeCell ref="I26:M26"/>
    <mergeCell ref="N26:P26"/>
    <mergeCell ref="N23:P23"/>
    <mergeCell ref="I24:M24"/>
    <mergeCell ref="N24:P24"/>
    <mergeCell ref="AN21:AO21"/>
    <mergeCell ref="AL3:AL21"/>
    <mergeCell ref="C4:G4"/>
    <mergeCell ref="AG4:AK4"/>
    <mergeCell ref="AN19:AO19"/>
    <mergeCell ref="C20:F20"/>
    <mergeCell ref="AG20:AJ20"/>
    <mergeCell ref="AN20:AO20"/>
    <mergeCell ref="AN14:AN17"/>
    <mergeCell ref="AO14:AO17"/>
    <mergeCell ref="I25:M25"/>
    <mergeCell ref="N25:P25"/>
    <mergeCell ref="I32:M32"/>
    <mergeCell ref="N32:P32"/>
    <mergeCell ref="I27:M27"/>
    <mergeCell ref="N27:P27"/>
    <mergeCell ref="I28:M28"/>
    <mergeCell ref="N28:P28"/>
    <mergeCell ref="I29:M29"/>
    <mergeCell ref="N29:P29"/>
    <mergeCell ref="I30:M30"/>
    <mergeCell ref="N30:P30"/>
    <mergeCell ref="I31:M31"/>
    <mergeCell ref="N31:P31"/>
    <mergeCell ref="I33:M33"/>
    <mergeCell ref="N33:P33"/>
    <mergeCell ref="C34:E34"/>
    <mergeCell ref="F34:H34"/>
    <mergeCell ref="C37:J51"/>
    <mergeCell ref="AG39:AH40"/>
    <mergeCell ref="AI39:AJ40"/>
    <mergeCell ref="AK39:AL40"/>
    <mergeCell ref="AG41:AH42"/>
    <mergeCell ref="AJ34:AJ37"/>
    <mergeCell ref="C35:E35"/>
    <mergeCell ref="F35:H35"/>
    <mergeCell ref="I35:M36"/>
    <mergeCell ref="AG35:AI35"/>
    <mergeCell ref="L47:O48"/>
    <mergeCell ref="P47:P50"/>
    <mergeCell ref="Q47:Q48"/>
    <mergeCell ref="AK34:AK37"/>
    <mergeCell ref="AG34:AI34"/>
    <mergeCell ref="AI41:AJ42"/>
    <mergeCell ref="AK41:AL42"/>
    <mergeCell ref="AG43:AH44"/>
    <mergeCell ref="AI43:AJ44"/>
    <mergeCell ref="AK43:AL44"/>
    <mergeCell ref="A48:A55"/>
    <mergeCell ref="L49:M50"/>
    <mergeCell ref="N49:O50"/>
    <mergeCell ref="Q49:Q50"/>
    <mergeCell ref="L51:M52"/>
    <mergeCell ref="N51:O52"/>
    <mergeCell ref="P51:P52"/>
    <mergeCell ref="Q51:Q52"/>
    <mergeCell ref="C52:D52"/>
    <mergeCell ref="F52:F53"/>
    <mergeCell ref="A56:A57"/>
    <mergeCell ref="C56:D56"/>
    <mergeCell ref="G56:I56"/>
    <mergeCell ref="C57:D57"/>
    <mergeCell ref="G57:I57"/>
    <mergeCell ref="G60:I60"/>
    <mergeCell ref="G52:I53"/>
    <mergeCell ref="C54:D54"/>
    <mergeCell ref="G54:I54"/>
    <mergeCell ref="C55:D55"/>
    <mergeCell ref="G55:I55"/>
    <mergeCell ref="A58:A59"/>
    <mergeCell ref="C58:D58"/>
    <mergeCell ref="G58:I58"/>
    <mergeCell ref="C59:D59"/>
    <mergeCell ref="G59:I59"/>
    <mergeCell ref="C61:D61"/>
    <mergeCell ref="G61:I61"/>
    <mergeCell ref="A62:A65"/>
    <mergeCell ref="C62:D62"/>
    <mergeCell ref="G62:I62"/>
    <mergeCell ref="C64:I64"/>
    <mergeCell ref="C65:E65"/>
    <mergeCell ref="F65:H65"/>
    <mergeCell ref="A60:A61"/>
    <mergeCell ref="C60:D60"/>
    <mergeCell ref="M68:M74"/>
    <mergeCell ref="A66:A67"/>
    <mergeCell ref="C66:E66"/>
    <mergeCell ref="F66:H66"/>
    <mergeCell ref="J66:J67"/>
    <mergeCell ref="C67:E67"/>
    <mergeCell ref="F67:H67"/>
    <mergeCell ref="J58:L58"/>
    <mergeCell ref="J62:L62"/>
    <mergeCell ref="K68:K74"/>
    <mergeCell ref="L68:L74"/>
    <mergeCell ref="J60:L60"/>
  </mergeCells>
  <conditionalFormatting sqref="D5:G8 E11:F12 G10:G12 G16 AH5:AK8 AI11:AJ12 AK10:AK12 AK16">
    <cfRule type="cellIs" priority="1" dxfId="2" operator="lessThan" stopIfTrue="1">
      <formula>""""""</formula>
    </cfRule>
  </conditionalFormatting>
  <conditionalFormatting sqref="C17 H36:H37 I34:K34 J22:K35">
    <cfRule type="cellIs" priority="2" dxfId="2" operator="greaterThan" stopIfTrue="1">
      <formula>""""""</formula>
    </cfRule>
  </conditionalFormatting>
  <conditionalFormatting sqref="D36:D37 D52:D53">
    <cfRule type="cellIs" priority="3" dxfId="2" operator="greaterThan" stopIfTrue="1">
      <formula>1800</formula>
    </cfRule>
  </conditionalFormatting>
  <conditionalFormatting sqref="C64:I64">
    <cfRule type="cellIs" priority="4" dxfId="2" operator="equal" stopIfTrue="1">
      <formula>"Csak egy fajtát válasszon ki!"</formula>
    </cfRule>
  </conditionalFormatting>
  <conditionalFormatting sqref="G54:I54">
    <cfRule type="cellIs" priority="5" dxfId="2" operator="equal" stopIfTrue="1">
      <formula>"egy megrendelőlapon csak egy fajta anyagot válasszon"</formula>
    </cfRule>
  </conditionalFormatting>
  <conditionalFormatting sqref="C14:G14">
    <cfRule type="cellIs" priority="6" dxfId="2" operator="equal" stopIfTrue="1">
      <formula>"válasszon anyagot lejjebb"</formula>
    </cfRule>
    <cfRule type="cellIs" priority="7" dxfId="2" operator="equal" stopIfTrue="1">
      <formula>"Csak egy fajta anyagot válasszon"</formula>
    </cfRule>
  </conditionalFormatting>
  <conditionalFormatting sqref="K66">
    <cfRule type="cellIs" priority="8" dxfId="2" operator="equal" stopIfTrue="1">
      <formula>"Csak egy helyre tegyen egyest!"</formula>
    </cfRule>
  </conditionalFormatting>
  <conditionalFormatting sqref="J66:J67">
    <cfRule type="cellIs" priority="9" dxfId="11" operator="notEqual" stopIfTrue="1">
      <formula>""</formula>
    </cfRule>
  </conditionalFormatting>
  <conditionalFormatting sqref="I22:I33">
    <cfRule type="cellIs" priority="10" dxfId="8" operator="equal" stopIfTrue="1">
      <formula>"Túl széles másodosztályú anyagból"</formula>
    </cfRule>
    <cfRule type="cellIs" priority="11" dxfId="2" operator="greaterThan" stopIfTrue="1">
      <formula>""</formula>
    </cfRule>
  </conditionalFormatting>
  <conditionalFormatting sqref="D22:D33">
    <cfRule type="expression" priority="12" dxfId="8" stopIfTrue="1">
      <formula>$E120</formula>
    </cfRule>
  </conditionalFormatting>
  <conditionalFormatting sqref="N22:N33">
    <cfRule type="cellIs" priority="13" dxfId="2" operator="equal" stopIfTrue="1">
      <formula>"A mechanika elhelyezése J vagy B lehet"</formula>
    </cfRule>
  </conditionalFormatting>
  <conditionalFormatting sqref="L47">
    <cfRule type="cellIs" priority="14" dxfId="6" operator="equal" stopIfTrue="1">
      <formula>"Kérem tegyen egy 1est a roló kívánt elhelyezéséhez"</formula>
    </cfRule>
    <cfRule type="cellIs" priority="15" dxfId="2" operator="equal" stopIfTrue="1">
      <formula>"Egy megrendelőlapon csak egy fajta elhelyezést válasszon"</formula>
    </cfRule>
  </conditionalFormatting>
  <conditionalFormatting sqref="Q22:Q33">
    <cfRule type="cellIs" priority="16" dxfId="4" operator="equal" stopIfTrue="1">
      <formula>"Két mechanika egy lécen"</formula>
    </cfRule>
  </conditionalFormatting>
  <conditionalFormatting sqref="P47">
    <cfRule type="expression" priority="17" dxfId="3" stopIfTrue="1">
      <formula>$L$51=""</formula>
    </cfRule>
    <cfRule type="expression" priority="18" dxfId="2" stopIfTrue="1">
      <formula>$P$51&lt;&gt;1</formula>
    </cfRule>
  </conditionalFormatting>
  <conditionalFormatting sqref="F18">
    <cfRule type="cellIs" priority="19" dxfId="1" operator="equal" stopIfTrue="1">
      <formula>0</formula>
    </cfRule>
  </conditionalFormatting>
  <conditionalFormatting sqref="I35">
    <cfRule type="cellIs" priority="20" dxfId="0" operator="greaterThan" stopIfTrue="1">
      <formula>"A maximális szélesség ebből a másodosztályú anyagból"</formula>
    </cfRule>
  </conditionalFormatting>
  <dataValidations count="1">
    <dataValidation type="list" operator="equal" allowBlank="1" showInputMessage="1" showErrorMessage="1" promptTitle="Legördülő lista!" prompt=" " errorTitle="!!!" error="U, E, S" sqref="G16">
      <formula1>",U,E,S,"</formula1>
    </dataValidation>
  </dataValidations>
  <printOptions/>
  <pageMargins left="0.7875" right="0.39375" top="0.9583333333333333" bottom="1.0131944444444443" header="0.5118055555555555" footer="0.5118055555555555"/>
  <pageSetup horizontalDpi="300" verticalDpi="300" orientation="portrait" paperSize="9" r:id="rId2"/>
  <headerFooter alignWithMargins="0">
    <oddHeader>&amp;C&amp;"Times New Roman,Normálne"&amp;12&amp;F</oddHeader>
    <oddFooter>&amp;C&amp;"Times New Roman,Normálne"&amp;12&amp;F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Janos</cp:lastModifiedBy>
  <dcterms:modified xsi:type="dcterms:W3CDTF">2016-06-13T14:15:13Z</dcterms:modified>
  <cp:category/>
  <cp:version/>
  <cp:contentType/>
  <cp:contentStatus/>
</cp:coreProperties>
</file>